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30" windowWidth="22995" windowHeight="10035" tabRatio="718" activeTab="1"/>
  </bookViews>
  <sheets>
    <sheet name="COVER" sheetId="19" r:id="rId1"/>
    <sheet name="FiT calculation" sheetId="20" r:id="rId2"/>
  </sheets>
  <externalReferences>
    <externalReference r:id="rId3"/>
    <externalReference r:id="rId4"/>
  </externalReferences>
  <definedNames>
    <definedName name="Title_Model" localSheetId="0">COVER!$C$2</definedName>
    <definedName name="Title_Model">#REF!</definedName>
    <definedName name="Title_Project" localSheetId="0">COVER!$C$3</definedName>
    <definedName name="Title_Project">#REF!</definedName>
  </definedNames>
  <calcPr calcId="145621"/>
</workbook>
</file>

<file path=xl/calcChain.xml><?xml version="1.0" encoding="utf-8"?>
<calcChain xmlns="http://schemas.openxmlformats.org/spreadsheetml/2006/main">
  <c r="C73" i="20" l="1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3" i="20"/>
  <c r="C53" i="20"/>
  <c r="E42" i="20"/>
  <c r="D42" i="20"/>
  <c r="C42" i="20"/>
  <c r="F37" i="20"/>
  <c r="F42" i="20" s="1"/>
  <c r="D36" i="20"/>
  <c r="E36" i="20" s="1"/>
  <c r="F36" i="20" s="1"/>
  <c r="G36" i="20" s="1"/>
  <c r="H36" i="20" s="1"/>
  <c r="I36" i="20" s="1"/>
  <c r="J36" i="20" s="1"/>
  <c r="K36" i="20" s="1"/>
  <c r="L36" i="20" s="1"/>
  <c r="M36" i="20" s="1"/>
  <c r="C19" i="20"/>
  <c r="C17" i="20"/>
  <c r="C18" i="20" s="1"/>
  <c r="C14" i="20"/>
  <c r="C10" i="20"/>
  <c r="E51" i="20" s="1"/>
  <c r="A1" i="20"/>
  <c r="F49" i="20" l="1"/>
  <c r="G37" i="20"/>
  <c r="E49" i="20"/>
  <c r="N36" i="20"/>
  <c r="O36" i="20" s="1"/>
  <c r="P36" i="20" s="1"/>
  <c r="Q36" i="20" s="1"/>
  <c r="R36" i="20" s="1"/>
  <c r="S36" i="20" s="1"/>
  <c r="T36" i="20" s="1"/>
  <c r="U36" i="20" s="1"/>
  <c r="M51" i="20"/>
  <c r="G51" i="20"/>
  <c r="L51" i="20"/>
  <c r="H51" i="20"/>
  <c r="K51" i="20"/>
  <c r="F51" i="20"/>
  <c r="N51" i="20"/>
  <c r="I51" i="20"/>
  <c r="C56" i="20"/>
  <c r="C57" i="20" s="1"/>
  <c r="D56" i="20"/>
  <c r="D57" i="20" s="1"/>
  <c r="C22" i="20"/>
  <c r="J51" i="20"/>
  <c r="P51" i="20" l="1"/>
  <c r="O51" i="20"/>
  <c r="R51" i="20"/>
  <c r="S51" i="20"/>
  <c r="T51" i="20"/>
  <c r="Q51" i="20"/>
  <c r="G42" i="20"/>
  <c r="G49" i="20" s="1"/>
  <c r="H37" i="20"/>
  <c r="C60" i="20"/>
  <c r="C62" i="20"/>
  <c r="D62" i="20"/>
  <c r="D60" i="20"/>
  <c r="O50" i="20"/>
  <c r="T50" i="20"/>
  <c r="P50" i="20"/>
  <c r="L50" i="20"/>
  <c r="H50" i="20"/>
  <c r="S50" i="20"/>
  <c r="K50" i="20"/>
  <c r="N50" i="20"/>
  <c r="G50" i="20"/>
  <c r="U50" i="20"/>
  <c r="M50" i="20"/>
  <c r="F50" i="20"/>
  <c r="R50" i="20"/>
  <c r="J50" i="20"/>
  <c r="E50" i="20"/>
  <c r="Q50" i="20"/>
  <c r="I50" i="20"/>
  <c r="V36" i="20"/>
  <c r="V50" i="20" s="1"/>
  <c r="U51" i="20"/>
  <c r="H42" i="20" l="1"/>
  <c r="H49" i="20" s="1"/>
  <c r="I37" i="20"/>
  <c r="C71" i="20"/>
  <c r="W36" i="20"/>
  <c r="V51" i="20"/>
  <c r="C63" i="20"/>
  <c r="C67" i="20" s="1"/>
  <c r="C68" i="20" s="1"/>
  <c r="D66" i="20" s="1"/>
  <c r="E61" i="20"/>
  <c r="E52" i="20"/>
  <c r="E53" i="20" s="1"/>
  <c r="D63" i="20"/>
  <c r="D67" i="20" s="1"/>
  <c r="D71" i="20" s="1"/>
  <c r="I42" i="20" l="1"/>
  <c r="I49" i="20" s="1"/>
  <c r="J37" i="20"/>
  <c r="X36" i="20"/>
  <c r="W51" i="20"/>
  <c r="W50" i="20"/>
  <c r="F61" i="20"/>
  <c r="G52" i="20" s="1"/>
  <c r="G53" i="20" s="1"/>
  <c r="E63" i="20"/>
  <c r="E67" i="20" s="1"/>
  <c r="E71" i="20" s="1"/>
  <c r="D68" i="20"/>
  <c r="E66" i="20" s="1"/>
  <c r="F52" i="20"/>
  <c r="F53" i="20" s="1"/>
  <c r="K37" i="20" l="1"/>
  <c r="J42" i="20"/>
  <c r="J49" i="20" s="1"/>
  <c r="E68" i="20"/>
  <c r="F66" i="20" s="1"/>
  <c r="F63" i="20"/>
  <c r="F67" i="20" s="1"/>
  <c r="F71" i="20" s="1"/>
  <c r="G61" i="20"/>
  <c r="X51" i="20"/>
  <c r="X50" i="20"/>
  <c r="L37" i="20" l="1"/>
  <c r="K42" i="20"/>
  <c r="K49" i="20" s="1"/>
  <c r="G63" i="20"/>
  <c r="G67" i="20" s="1"/>
  <c r="G71" i="20" s="1"/>
  <c r="H52" i="20"/>
  <c r="H53" i="20" s="1"/>
  <c r="H61" i="20"/>
  <c r="F68" i="20"/>
  <c r="G66" i="20" s="1"/>
  <c r="L42" i="20" l="1"/>
  <c r="L49" i="20" s="1"/>
  <c r="M37" i="20"/>
  <c r="G68" i="20"/>
  <c r="H66" i="20" s="1"/>
  <c r="I52" i="20"/>
  <c r="I53" i="20" s="1"/>
  <c r="H63" i="20"/>
  <c r="H67" i="20" s="1"/>
  <c r="I61" i="20"/>
  <c r="J61" i="20" s="1"/>
  <c r="J63" i="20" s="1"/>
  <c r="N37" i="20" l="1"/>
  <c r="M42" i="20"/>
  <c r="M49" i="20" s="1"/>
  <c r="H71" i="20"/>
  <c r="H68" i="20"/>
  <c r="I66" i="20" s="1"/>
  <c r="J52" i="20"/>
  <c r="J53" i="20" s="1"/>
  <c r="J67" i="20" s="1"/>
  <c r="J71" i="20" s="1"/>
  <c r="I63" i="20"/>
  <c r="I67" i="20"/>
  <c r="I71" i="20" s="1"/>
  <c r="K61" i="20"/>
  <c r="K63" i="20" s="1"/>
  <c r="K52" i="20"/>
  <c r="K53" i="20" s="1"/>
  <c r="K67" i="20" l="1"/>
  <c r="K71" i="20" s="1"/>
  <c r="O37" i="20"/>
  <c r="N42" i="20"/>
  <c r="N49" i="20" s="1"/>
  <c r="L61" i="20"/>
  <c r="L63" i="20" s="1"/>
  <c r="I68" i="20"/>
  <c r="J66" i="20" s="1"/>
  <c r="J68" i="20" s="1"/>
  <c r="K66" i="20" s="1"/>
  <c r="K68" i="20" s="1"/>
  <c r="L66" i="20" s="1"/>
  <c r="L52" i="20"/>
  <c r="L53" i="20" s="1"/>
  <c r="M61" i="20" l="1"/>
  <c r="N52" i="20" s="1"/>
  <c r="N53" i="20" s="1"/>
  <c r="O42" i="20"/>
  <c r="O49" i="20" s="1"/>
  <c r="P37" i="20"/>
  <c r="L67" i="20"/>
  <c r="L71" i="20" s="1"/>
  <c r="M52" i="20"/>
  <c r="M53" i="20" s="1"/>
  <c r="M63" i="20"/>
  <c r="M67" i="20" s="1"/>
  <c r="M71" i="20" s="1"/>
  <c r="Q37" i="20" l="1"/>
  <c r="P42" i="20"/>
  <c r="P49" i="20" s="1"/>
  <c r="O61" i="20"/>
  <c r="O63" i="20" s="1"/>
  <c r="L68" i="20"/>
  <c r="M66" i="20" s="1"/>
  <c r="M68" i="20" s="1"/>
  <c r="N66" i="20" s="1"/>
  <c r="N68" i="20" s="1"/>
  <c r="O66" i="20" s="1"/>
  <c r="N61" i="20"/>
  <c r="N63" i="20" s="1"/>
  <c r="N67" i="20" s="1"/>
  <c r="N71" i="20" s="1"/>
  <c r="P61" i="20" l="1"/>
  <c r="Q52" i="20" s="1"/>
  <c r="R37" i="20"/>
  <c r="Q42" i="20"/>
  <c r="Q49" i="20" s="1"/>
  <c r="P52" i="20"/>
  <c r="P53" i="20" s="1"/>
  <c r="O52" i="20"/>
  <c r="O53" i="20" s="1"/>
  <c r="O67" i="20" s="1"/>
  <c r="P63" i="20"/>
  <c r="Q61" i="20"/>
  <c r="O71" i="20" l="1"/>
  <c r="O68" i="20"/>
  <c r="P66" i="20" s="1"/>
  <c r="Q53" i="20"/>
  <c r="R42" i="20"/>
  <c r="R49" i="20" s="1"/>
  <c r="S37" i="20"/>
  <c r="P67" i="20"/>
  <c r="P71" i="20" s="1"/>
  <c r="Q63" i="20"/>
  <c r="Q67" i="20" s="1"/>
  <c r="Q71" i="20" s="1"/>
  <c r="R52" i="20"/>
  <c r="R53" i="20" s="1"/>
  <c r="R61" i="20"/>
  <c r="P68" i="20"/>
  <c r="Q66" i="20" s="1"/>
  <c r="T37" i="20" l="1"/>
  <c r="S42" i="20"/>
  <c r="S49" i="20" s="1"/>
  <c r="R63" i="20"/>
  <c r="S61" i="20"/>
  <c r="S52" i="20"/>
  <c r="Q68" i="20"/>
  <c r="R66" i="20" s="1"/>
  <c r="R67" i="20"/>
  <c r="R71" i="20" s="1"/>
  <c r="S53" i="20" l="1"/>
  <c r="U37" i="20"/>
  <c r="T42" i="20"/>
  <c r="T49" i="20" s="1"/>
  <c r="S63" i="20"/>
  <c r="S67" i="20" s="1"/>
  <c r="S71" i="20" s="1"/>
  <c r="T52" i="20"/>
  <c r="T61" i="20"/>
  <c r="R68" i="20"/>
  <c r="S66" i="20" s="1"/>
  <c r="T53" i="20" l="1"/>
  <c r="V37" i="20"/>
  <c r="U42" i="20"/>
  <c r="U49" i="20" s="1"/>
  <c r="S68" i="20"/>
  <c r="T66" i="20" s="1"/>
  <c r="T63" i="20"/>
  <c r="T67" i="20" s="1"/>
  <c r="T71" i="20" s="1"/>
  <c r="U52" i="20"/>
  <c r="U61" i="20"/>
  <c r="U53" i="20" l="1"/>
  <c r="W37" i="20"/>
  <c r="V42" i="20"/>
  <c r="V49" i="20" s="1"/>
  <c r="U63" i="20"/>
  <c r="U67" i="20" s="1"/>
  <c r="U71" i="20" s="1"/>
  <c r="V52" i="20"/>
  <c r="V61" i="20"/>
  <c r="T68" i="20"/>
  <c r="U66" i="20" s="1"/>
  <c r="V53" i="20" l="1"/>
  <c r="X37" i="20"/>
  <c r="X42" i="20" s="1"/>
  <c r="X49" i="20" s="1"/>
  <c r="W42" i="20"/>
  <c r="W49" i="20" s="1"/>
  <c r="V63" i="20"/>
  <c r="V67" i="20" s="1"/>
  <c r="V71" i="20" s="1"/>
  <c r="W52" i="20"/>
  <c r="W61" i="20"/>
  <c r="U68" i="20"/>
  <c r="V66" i="20" s="1"/>
  <c r="W53" i="20" l="1"/>
  <c r="W63" i="20"/>
  <c r="W67" i="20" s="1"/>
  <c r="W71" i="20" s="1"/>
  <c r="X52" i="20"/>
  <c r="X53" i="20" s="1"/>
  <c r="X61" i="20"/>
  <c r="X63" i="20" s="1"/>
  <c r="V68" i="20"/>
  <c r="W66" i="20" s="1"/>
  <c r="X67" i="20" l="1"/>
  <c r="X71" i="20" s="1"/>
  <c r="C72" i="20" s="1"/>
  <c r="W68" i="20"/>
  <c r="X66" i="20" s="1"/>
  <c r="X68" i="20" l="1"/>
  <c r="C76" i="20"/>
  <c r="C74" i="20"/>
</calcChain>
</file>

<file path=xl/sharedStrings.xml><?xml version="1.0" encoding="utf-8"?>
<sst xmlns="http://schemas.openxmlformats.org/spreadsheetml/2006/main" count="108" uniqueCount="71">
  <si>
    <t>years</t>
  </si>
  <si>
    <t>Inflation</t>
  </si>
  <si>
    <t>Technology</t>
  </si>
  <si>
    <t>Wind</t>
  </si>
  <si>
    <t>MW</t>
  </si>
  <si>
    <t>Capacity factor</t>
  </si>
  <si>
    <t>%</t>
  </si>
  <si>
    <t>$/MWh</t>
  </si>
  <si>
    <t>Inflation rate</t>
  </si>
  <si>
    <t>Interest on loan</t>
  </si>
  <si>
    <t>Operating cash flows</t>
  </si>
  <si>
    <t>Net operating cash flow</t>
  </si>
  <si>
    <t>Investing cash flows</t>
  </si>
  <si>
    <t>Investment costs</t>
  </si>
  <si>
    <t>Net investing cash flow</t>
  </si>
  <si>
    <t>Financing cash flows</t>
  </si>
  <si>
    <t>Proceeds on loan</t>
  </si>
  <si>
    <t>Principal paid on Loan</t>
  </si>
  <si>
    <t>Equity contributions</t>
  </si>
  <si>
    <t>Net financing cash flow</t>
  </si>
  <si>
    <t>Net cash flows</t>
  </si>
  <si>
    <t>Cash at Beginning of Year</t>
  </si>
  <si>
    <t>Net Change in Cash</t>
  </si>
  <si>
    <t>Cash at End of Year</t>
  </si>
  <si>
    <t>Project cash flows</t>
  </si>
  <si>
    <t>Investor returns</t>
  </si>
  <si>
    <t>hours</t>
  </si>
  <si>
    <t>Year</t>
  </si>
  <si>
    <t>Mini-grid Feed-in Tariff Tool</t>
  </si>
  <si>
    <t>Supportive framework conditions for mini-grids employing renewable and hybrid generation in the SADC Region</t>
  </si>
  <si>
    <t>©2014 Economic Consulting Associates Ltd</t>
  </si>
  <si>
    <t>This tool was prepared for the SADC Regional Electricity Regulators’ Association (RERA) by Economic Consulting Associates and Practical Action (Southern Africa). The support of the Africa-EU Renewable Energy Cooperation Programme (RECP), managed by the European Union Energy Initiative Partnership Dialogue Facility (EUEI PDF), is gratefully acknowledged.</t>
  </si>
  <si>
    <t>Inputs</t>
  </si>
  <si>
    <t>Characteristics</t>
  </si>
  <si>
    <t>type</t>
  </si>
  <si>
    <t>Capacity</t>
  </si>
  <si>
    <t>Full load operating hours</t>
  </si>
  <si>
    <t>Outlay of capex in first year</t>
  </si>
  <si>
    <t>Outlay of capex in second year</t>
  </si>
  <si>
    <t>Feasibility, development and construction costs</t>
  </si>
  <si>
    <t>$m</t>
  </si>
  <si>
    <t>Transmission connection costs</t>
  </si>
  <si>
    <t>Total (before interest)</t>
  </si>
  <si>
    <t>Interest during construction</t>
  </si>
  <si>
    <t>Total</t>
  </si>
  <si>
    <t>Operating costs</t>
  </si>
  <si>
    <t>Fixed O&amp;M</t>
  </si>
  <si>
    <t>$000</t>
  </si>
  <si>
    <t>Fuel costs</t>
  </si>
  <si>
    <t>Variable O&amp;M</t>
  </si>
  <si>
    <t>Financing terms</t>
  </si>
  <si>
    <t>Initial gearing</t>
  </si>
  <si>
    <t>Loan period</t>
  </si>
  <si>
    <t>Cost of debt (interest)</t>
  </si>
  <si>
    <t>Pre tax ROE</t>
  </si>
  <si>
    <t>Inflation factor (costs)</t>
  </si>
  <si>
    <t>Inflation factor (revenues)</t>
  </si>
  <si>
    <t>Feed-in tariff</t>
  </si>
  <si>
    <t>(Goal seek FiT so that target ROE is reached)</t>
  </si>
  <si>
    <t>FiT</t>
  </si>
  <si>
    <t>c/kWh</t>
  </si>
  <si>
    <t>Indexed FiT</t>
  </si>
  <si>
    <t>Revenue from FiT</t>
  </si>
  <si>
    <t>Fixed costs</t>
  </si>
  <si>
    <t>Variable costs</t>
  </si>
  <si>
    <t>Annual return on equity</t>
  </si>
  <si>
    <t>IRR (nominal)</t>
  </si>
  <si>
    <t>Target ROE</t>
  </si>
  <si>
    <t>Difference</t>
  </si>
  <si>
    <t>IRR (real)</t>
  </si>
  <si>
    <t>Note: Model is populated with dummy data for illustrative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</si>
</sst>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Arial"/>
      <family val="2"/>
    </font>
    <font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</cellStyleXfs>
  <cellXfs count="52">
    <xf numFmtId="0" fontId="0" fillId="0" borderId="0" xfId="0"/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3" fillId="4" borderId="0" xfId="0" applyFont="1" applyFill="1"/>
    <xf numFmtId="0" fontId="6" fillId="2" borderId="0" xfId="0" applyFont="1" applyFill="1"/>
    <xf numFmtId="0" fontId="14" fillId="4" borderId="0" xfId="0" applyFont="1" applyFill="1"/>
    <xf numFmtId="0" fontId="6" fillId="0" borderId="0" xfId="0" applyFont="1"/>
    <xf numFmtId="0" fontId="13" fillId="0" borderId="0" xfId="0" applyFont="1"/>
    <xf numFmtId="164" fontId="6" fillId="5" borderId="0" xfId="1" applyNumberFormat="1" applyFont="1" applyFill="1" applyAlignment="1">
      <alignment horizontal="right"/>
    </xf>
    <xf numFmtId="9" fontId="6" fillId="5" borderId="0" xfId="2" applyNumberFormat="1" applyFont="1" applyFill="1" applyAlignment="1">
      <alignment horizontal="right"/>
    </xf>
    <xf numFmtId="164" fontId="6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4" applyFont="1" applyFill="1"/>
    <xf numFmtId="9" fontId="6" fillId="5" borderId="0" xfId="4" applyNumberFormat="1" applyFont="1" applyFill="1" applyAlignment="1">
      <alignment horizontal="right"/>
    </xf>
    <xf numFmtId="9" fontId="6" fillId="0" borderId="0" xfId="4" applyNumberFormat="1" applyFont="1" applyFill="1" applyAlignment="1">
      <alignment horizontal="right"/>
    </xf>
    <xf numFmtId="2" fontId="6" fillId="5" borderId="0" xfId="4" applyNumberFormat="1" applyFont="1" applyFill="1" applyAlignment="1">
      <alignment horizontal="right"/>
    </xf>
    <xf numFmtId="0" fontId="6" fillId="0" borderId="0" xfId="0" applyFont="1" applyAlignment="1">
      <alignment horizontal="left" indent="1"/>
    </xf>
    <xf numFmtId="43" fontId="6" fillId="0" borderId="0" xfId="0" applyNumberFormat="1" applyFont="1" applyAlignment="1">
      <alignment horizontal="right"/>
    </xf>
    <xf numFmtId="0" fontId="6" fillId="0" borderId="0" xfId="0" applyFont="1" applyFill="1"/>
    <xf numFmtId="43" fontId="6" fillId="0" borderId="0" xfId="1" applyFont="1" applyFill="1" applyAlignment="1">
      <alignment horizontal="right"/>
    </xf>
    <xf numFmtId="43" fontId="6" fillId="0" borderId="0" xfId="1" applyFont="1" applyAlignment="1">
      <alignment horizontal="right"/>
    </xf>
    <xf numFmtId="0" fontId="13" fillId="0" borderId="0" xfId="0" applyFont="1" applyFill="1"/>
    <xf numFmtId="164" fontId="6" fillId="5" borderId="0" xfId="4" applyNumberFormat="1" applyFont="1" applyFill="1" applyAlignment="1">
      <alignment horizontal="right"/>
    </xf>
    <xf numFmtId="164" fontId="6" fillId="0" borderId="0" xfId="0" applyNumberFormat="1" applyFont="1"/>
    <xf numFmtId="43" fontId="6" fillId="0" borderId="0" xfId="1" applyFont="1"/>
    <xf numFmtId="43" fontId="6" fillId="0" borderId="0" xfId="0" applyNumberFormat="1" applyFont="1"/>
    <xf numFmtId="0" fontId="6" fillId="5" borderId="0" xfId="4" applyFont="1" applyFill="1" applyAlignment="1">
      <alignment horizontal="right"/>
    </xf>
    <xf numFmtId="165" fontId="6" fillId="5" borderId="0" xfId="4" applyNumberFormat="1" applyFont="1" applyFill="1" applyAlignment="1">
      <alignment horizontal="right"/>
    </xf>
    <xf numFmtId="9" fontId="6" fillId="5" borderId="0" xfId="0" applyNumberFormat="1" applyFont="1" applyFill="1"/>
    <xf numFmtId="9" fontId="6" fillId="0" borderId="0" xfId="2" applyFont="1"/>
    <xf numFmtId="9" fontId="6" fillId="0" borderId="0" xfId="0" applyNumberFormat="1" applyFont="1"/>
    <xf numFmtId="2" fontId="6" fillId="6" borderId="0" xfId="4" applyNumberFormat="1" applyFont="1" applyFill="1" applyAlignment="1">
      <alignment horizontal="right"/>
    </xf>
    <xf numFmtId="2" fontId="6" fillId="0" borderId="0" xfId="0" applyNumberFormat="1" applyFont="1"/>
    <xf numFmtId="43" fontId="6" fillId="0" borderId="0" xfId="0" applyNumberFormat="1" applyFont="1" applyFill="1"/>
    <xf numFmtId="43" fontId="6" fillId="0" borderId="0" xfId="1" applyNumberFormat="1" applyFont="1"/>
    <xf numFmtId="43" fontId="6" fillId="0" borderId="0" xfId="1" applyNumberFormat="1" applyFont="1" applyBorder="1"/>
    <xf numFmtId="165" fontId="6" fillId="0" borderId="0" xfId="0" applyNumberFormat="1" applyFont="1"/>
    <xf numFmtId="165" fontId="6" fillId="7" borderId="0" xfId="0" applyNumberFormat="1" applyFont="1" applyFill="1"/>
    <xf numFmtId="0" fontId="12" fillId="0" borderId="0" xfId="0" applyFont="1"/>
    <xf numFmtId="10" fontId="12" fillId="0" borderId="0" xfId="2" applyNumberFormat="1" applyFont="1"/>
    <xf numFmtId="0" fontId="15" fillId="0" borderId="0" xfId="0" applyFont="1"/>
    <xf numFmtId="0" fontId="16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top" wrapText="1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1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'FiT calculation'!$A$71</c:f>
              <c:strCache>
                <c:ptCount val="1"/>
                <c:pt idx="0">
                  <c:v>Annual return on equity</c:v>
                </c:pt>
              </c:strCache>
            </c:strRef>
          </c:tx>
          <c:invertIfNegative val="0"/>
          <c:cat>
            <c:numRef>
              <c:f>'FiT calculation'!$C$2:$X$2</c:f>
              <c:numCache>
                <c:formatCode>General</c:formatCode>
                <c:ptCount val="2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numCache>
            </c:numRef>
          </c:cat>
          <c:val>
            <c:numRef>
              <c:f>'FiT calculation'!$C$71:$X$71</c:f>
              <c:numCache>
                <c:formatCode>_(* #,##0.00_);_(* \(#,##0.00\);_(* "-"??_);_(@_)</c:formatCode>
                <c:ptCount val="22"/>
                <c:pt idx="0">
                  <c:v>-3.4500000000000006</c:v>
                </c:pt>
                <c:pt idx="1">
                  <c:v>-3.5190000000000006</c:v>
                </c:pt>
                <c:pt idx="2">
                  <c:v>-0.23614760000000001</c:v>
                </c:pt>
                <c:pt idx="3">
                  <c:v>-1.3216552000000048E-2</c:v>
                </c:pt>
                <c:pt idx="4">
                  <c:v>0.21092091696000015</c:v>
                </c:pt>
                <c:pt idx="5">
                  <c:v>0.43628893529919943</c:v>
                </c:pt>
                <c:pt idx="6">
                  <c:v>0.66291211400518413</c:v>
                </c:pt>
                <c:pt idx="7">
                  <c:v>0.89081555628528775</c:v>
                </c:pt>
                <c:pt idx="8">
                  <c:v>1.1200248674109943</c:v>
                </c:pt>
                <c:pt idx="9">
                  <c:v>1.3505661647592138</c:v>
                </c:pt>
                <c:pt idx="10">
                  <c:v>1.5824660880543984</c:v>
                </c:pt>
                <c:pt idx="11">
                  <c:v>1.8157518098154852</c:v>
                </c:pt>
                <c:pt idx="12">
                  <c:v>3.6765510460117943</c:v>
                </c:pt>
                <c:pt idx="13">
                  <c:v>3.7500820669320318</c:v>
                </c:pt>
                <c:pt idx="14">
                  <c:v>3.8250837082706712</c:v>
                </c:pt>
                <c:pt idx="15">
                  <c:v>3.9015853824360853</c:v>
                </c:pt>
                <c:pt idx="16">
                  <c:v>3.9796170900848074</c:v>
                </c:pt>
                <c:pt idx="17">
                  <c:v>4.0592094318865044</c:v>
                </c:pt>
                <c:pt idx="18">
                  <c:v>4.1403936205242333</c:v>
                </c:pt>
                <c:pt idx="19">
                  <c:v>4.2232014929347184</c:v>
                </c:pt>
                <c:pt idx="20">
                  <c:v>4.3076655227934157</c:v>
                </c:pt>
                <c:pt idx="21">
                  <c:v>4.3938188332492816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37856"/>
        <c:axId val="179344128"/>
      </c:barChart>
      <c:catAx>
        <c:axId val="17933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9344128"/>
        <c:crosses val="autoZero"/>
        <c:auto val="1"/>
        <c:lblAlgn val="ctr"/>
        <c:lblOffset val="100"/>
        <c:noMultiLvlLbl val="0"/>
      </c:catAx>
      <c:valAx>
        <c:axId val="179344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Return on equity ($m)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17933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85724</xdr:rowOff>
    </xdr:from>
    <xdr:to>
      <xdr:col>1</xdr:col>
      <xdr:colOff>1470025</xdr:colOff>
      <xdr:row>5</xdr:row>
      <xdr:rowOff>104774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47649"/>
          <a:ext cx="1336675" cy="9429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4</xdr:col>
      <xdr:colOff>249600</xdr:colOff>
      <xdr:row>10</xdr:row>
      <xdr:rowOff>76279</xdr:rowOff>
    </xdr:to>
    <xdr:pic>
      <xdr:nvPicPr>
        <xdr:cNvPr id="3" name="Picture 1" descr="C:\Users\Peter Robinson\AppData\Local\Microsoft\Windows\Temporary Internet Files\Content.Outlook\WP0ZGMA8\RERA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828800"/>
          <a:ext cx="1468800" cy="59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7</xdr:col>
      <xdr:colOff>249600</xdr:colOff>
      <xdr:row>10</xdr:row>
      <xdr:rowOff>122907</xdr:rowOff>
    </xdr:to>
    <xdr:pic>
      <xdr:nvPicPr>
        <xdr:cNvPr id="4" name="Grafik 1" descr="euei_cd_logo_rg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828800"/>
          <a:ext cx="1468800" cy="63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</xdr:row>
      <xdr:rowOff>0</xdr:rowOff>
    </xdr:from>
    <xdr:to>
      <xdr:col>10</xdr:col>
      <xdr:colOff>249600</xdr:colOff>
      <xdr:row>11</xdr:row>
      <xdr:rowOff>169631</xdr:rowOff>
    </xdr:to>
    <xdr:pic>
      <xdr:nvPicPr>
        <xdr:cNvPr id="5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828800"/>
          <a:ext cx="1468800" cy="84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74</xdr:row>
      <xdr:rowOff>80962</xdr:rowOff>
    </xdr:from>
    <xdr:to>
      <xdr:col>11</xdr:col>
      <xdr:colOff>438150</xdr:colOff>
      <xdr:row>92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chard/Dropbox/SADC%20RERA%20minigrids/Tariffs%20workshop/Presentations/FiT%20Tool%20-%20Case%20Study%20-%20Solution%20(Simpl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chard/Google%20Drive/Docs%20-%20Work/ECA/Projects%20worked%20on/Kenya%20RES%20386/Docs/Richard%20Work%20in%20Progress/FiT%20Model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FiT calculation"/>
    </sheetNames>
    <sheetDataSet>
      <sheetData sheetId="0">
        <row r="2">
          <cell r="B2" t="str">
            <v>FiT Tool</v>
          </cell>
        </row>
      </sheetData>
      <sheetData sheetId="1">
        <row r="3">
          <cell r="C3">
            <v>-1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s"/>
      <sheetName val="Calcs (Selected Tech)"/>
      <sheetName val="Outputs"/>
      <sheetName val="Benchmark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ECA Theme">
  <a:themeElements>
    <a:clrScheme name="ECA Colours">
      <a:dk1>
        <a:sysClr val="windowText" lastClr="000000"/>
      </a:dk1>
      <a:lt1>
        <a:sysClr val="window" lastClr="FFFFFF"/>
      </a:lt1>
      <a:dk2>
        <a:srgbClr val="425968"/>
      </a:dk2>
      <a:lt2>
        <a:srgbClr val="D1CEC6"/>
      </a:lt2>
      <a:accent1>
        <a:srgbClr val="9BAABF"/>
      </a:accent1>
      <a:accent2>
        <a:srgbClr val="425968"/>
      </a:accent2>
      <a:accent3>
        <a:srgbClr val="D1CEC6"/>
      </a:accent3>
      <a:accent4>
        <a:srgbClr val="919693"/>
      </a:accent4>
      <a:accent5>
        <a:srgbClr val="E28C05"/>
      </a:accent5>
      <a:accent6>
        <a:srgbClr val="73923C"/>
      </a:accent6>
      <a:hlink>
        <a:srgbClr val="425968"/>
      </a:hlink>
      <a:folHlink>
        <a:srgbClr val="E28C05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"/>
  <sheetViews>
    <sheetView showGridLines="0" workbookViewId="0">
      <selection activeCell="B17" sqref="B17"/>
    </sheetView>
  </sheetViews>
  <sheetFormatPr defaultColWidth="0" defaultRowHeight="12.75" customHeight="1" zeroHeight="1" x14ac:dyDescent="0.25"/>
  <cols>
    <col min="1" max="1" width="4.28515625" style="7" customWidth="1"/>
    <col min="2" max="2" width="22.5703125" style="7" customWidth="1"/>
    <col min="3" max="52" width="9.140625" style="7" customWidth="1"/>
    <col min="53" max="16384" width="9.140625" style="7" hidden="1"/>
  </cols>
  <sheetData>
    <row r="1" spans="2:16" s="4" customFormat="1" x14ac:dyDescent="0.25"/>
    <row r="2" spans="2:16" s="4" customFormat="1" ht="26.25" x14ac:dyDescent="0.25">
      <c r="C2" s="5" t="s">
        <v>28</v>
      </c>
    </row>
    <row r="3" spans="2:16" s="4" customFormat="1" ht="18.75" x14ac:dyDescent="0.25">
      <c r="C3" s="6" t="s">
        <v>29</v>
      </c>
    </row>
    <row r="4" spans="2:16" s="4" customFormat="1" ht="15" x14ac:dyDescent="0.25">
      <c r="C4" s="2"/>
    </row>
    <row r="5" spans="2:16" s="4" customFormat="1" x14ac:dyDescent="0.25"/>
    <row r="6" spans="2:16" s="4" customFormat="1" ht="45.75" customHeight="1" x14ac:dyDescent="0.25">
      <c r="C6" s="51" t="s">
        <v>31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2:16" s="4" customFormat="1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2:16" s="4" customFormat="1" ht="15" x14ac:dyDescent="0.25"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6" s="4" customFormat="1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2:16" s="4" customFormat="1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2:16" s="4" customFormat="1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6" s="4" customFormat="1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2:16" s="4" customFormat="1" ht="15" x14ac:dyDescent="0.25">
      <c r="B13" s="2" t="s">
        <v>30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6" s="4" customFormat="1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 s="4" customFormat="1" x14ac:dyDescent="0.25">
      <c r="B15" s="48" t="s">
        <v>70</v>
      </c>
    </row>
    <row r="16" spans="2:16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</sheetData>
  <mergeCells count="1">
    <mergeCell ref="C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workbookViewId="0">
      <pane xSplit="2" ySplit="2" topLeftCell="C3" activePane="bottomRight" state="frozen"/>
      <selection sqref="A1:XFD2"/>
      <selection pane="topRight" sqref="A1:XFD2"/>
      <selection pane="bottomLeft" sqref="A1:XFD2"/>
      <selection pane="bottomRight" activeCell="B11" sqref="B11"/>
    </sheetView>
  </sheetViews>
  <sheetFormatPr defaultColWidth="8.85546875" defaultRowHeight="12" x14ac:dyDescent="0.2"/>
  <cols>
    <col min="1" max="1" width="29.7109375" style="47" customWidth="1"/>
    <col min="2" max="2" width="8.5703125" style="47" customWidth="1"/>
    <col min="3" max="3" width="11" style="47" bestFit="1" customWidth="1"/>
    <col min="4" max="4" width="10.28515625" style="47" bestFit="1" customWidth="1"/>
    <col min="5" max="16384" width="8.85546875" style="47"/>
  </cols>
  <sheetData>
    <row r="1" spans="1:24" s="1" customFormat="1" ht="15.75" x14ac:dyDescent="0.25">
      <c r="A1" s="50" t="str">
        <f>[1]TITLE!B2</f>
        <v>FiT Tool</v>
      </c>
      <c r="B1" s="3"/>
      <c r="C1" s="49"/>
      <c r="D1" s="49"/>
    </row>
    <row r="2" spans="1:24" s="1" customFormat="1" ht="15" x14ac:dyDescent="0.25">
      <c r="A2" s="1" t="s">
        <v>27</v>
      </c>
      <c r="C2" s="49">
        <v>-1</v>
      </c>
      <c r="D2" s="1">
        <v>0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1">
        <v>13</v>
      </c>
      <c r="R2" s="1">
        <v>14</v>
      </c>
      <c r="S2" s="1">
        <v>15</v>
      </c>
      <c r="T2" s="1">
        <v>16</v>
      </c>
      <c r="U2" s="1">
        <v>17</v>
      </c>
      <c r="V2" s="1">
        <v>18</v>
      </c>
      <c r="W2" s="1">
        <v>19</v>
      </c>
      <c r="X2" s="1">
        <v>20</v>
      </c>
    </row>
    <row r="3" spans="1:24" s="11" customFormat="1" ht="12.75" x14ac:dyDescent="0.2"/>
    <row r="4" spans="1:24" s="10" customFormat="1" ht="12.75" x14ac:dyDescent="0.2">
      <c r="A4" s="10" t="s">
        <v>32</v>
      </c>
      <c r="C4" s="12"/>
    </row>
    <row r="5" spans="1:24" s="13" customFormat="1" ht="12.75" x14ac:dyDescent="0.2"/>
    <row r="6" spans="1:24" s="13" customFormat="1" ht="12.75" x14ac:dyDescent="0.2">
      <c r="A6" s="14" t="s">
        <v>33</v>
      </c>
    </row>
    <row r="7" spans="1:24" s="13" customFormat="1" ht="12.75" x14ac:dyDescent="0.2">
      <c r="A7" s="13" t="s">
        <v>2</v>
      </c>
      <c r="B7" s="13" t="s">
        <v>34</v>
      </c>
      <c r="C7" s="15" t="s">
        <v>3</v>
      </c>
    </row>
    <row r="8" spans="1:24" s="13" customFormat="1" ht="12.75" x14ac:dyDescent="0.2">
      <c r="A8" s="13" t="s">
        <v>35</v>
      </c>
      <c r="B8" s="13" t="s">
        <v>4</v>
      </c>
      <c r="C8" s="15">
        <v>10</v>
      </c>
    </row>
    <row r="9" spans="1:24" s="13" customFormat="1" ht="12.75" x14ac:dyDescent="0.2">
      <c r="A9" s="13" t="s">
        <v>5</v>
      </c>
      <c r="B9" s="13" t="s">
        <v>6</v>
      </c>
      <c r="C9" s="16">
        <v>0.4</v>
      </c>
    </row>
    <row r="10" spans="1:24" s="13" customFormat="1" ht="12.75" x14ac:dyDescent="0.2">
      <c r="A10" s="13" t="s">
        <v>36</v>
      </c>
      <c r="B10" s="13" t="s">
        <v>26</v>
      </c>
      <c r="C10" s="17">
        <f>365*24*C9</f>
        <v>3504</v>
      </c>
    </row>
    <row r="11" spans="1:24" s="13" customFormat="1" ht="12.75" x14ac:dyDescent="0.2">
      <c r="C11" s="18"/>
    </row>
    <row r="12" spans="1:24" s="13" customFormat="1" ht="12.75" x14ac:dyDescent="0.2">
      <c r="A12" s="14" t="s">
        <v>13</v>
      </c>
    </row>
    <row r="13" spans="1:24" s="13" customFormat="1" ht="12.75" x14ac:dyDescent="0.2">
      <c r="A13" s="19" t="s">
        <v>37</v>
      </c>
      <c r="B13" s="19" t="s">
        <v>6</v>
      </c>
      <c r="C13" s="20">
        <v>0.5</v>
      </c>
    </row>
    <row r="14" spans="1:24" s="13" customFormat="1" ht="12.75" x14ac:dyDescent="0.2">
      <c r="A14" s="19" t="s">
        <v>38</v>
      </c>
      <c r="B14" s="19" t="s">
        <v>6</v>
      </c>
      <c r="C14" s="21">
        <f>1-C13</f>
        <v>0.5</v>
      </c>
    </row>
    <row r="15" spans="1:24" s="13" customFormat="1" ht="12.75" x14ac:dyDescent="0.2">
      <c r="A15" s="13" t="s">
        <v>39</v>
      </c>
      <c r="B15" s="13" t="s">
        <v>40</v>
      </c>
      <c r="C15" s="22">
        <v>23</v>
      </c>
    </row>
    <row r="16" spans="1:24" s="13" customFormat="1" ht="12.75" x14ac:dyDescent="0.2">
      <c r="A16" s="13" t="s">
        <v>41</v>
      </c>
      <c r="B16" s="13" t="s">
        <v>40</v>
      </c>
      <c r="C16" s="22">
        <v>0</v>
      </c>
    </row>
    <row r="17" spans="1:6" s="13" customFormat="1" ht="12.75" x14ac:dyDescent="0.2">
      <c r="A17" s="23" t="s">
        <v>42</v>
      </c>
      <c r="B17" s="13" t="s">
        <v>40</v>
      </c>
      <c r="C17" s="24">
        <f>SUM(C15:C16)</f>
        <v>23</v>
      </c>
    </row>
    <row r="18" spans="1:6" s="13" customFormat="1" ht="12.75" x14ac:dyDescent="0.2">
      <c r="A18" s="25" t="s">
        <v>43</v>
      </c>
      <c r="B18" s="13" t="s">
        <v>40</v>
      </c>
      <c r="C18" s="26">
        <f>C17*C$13*((1+C$30)^2-1)+C17*(1-C$13)*C$30</f>
        <v>0</v>
      </c>
    </row>
    <row r="19" spans="1:6" s="13" customFormat="1" ht="12.75" x14ac:dyDescent="0.2">
      <c r="A19" s="23" t="s">
        <v>44</v>
      </c>
      <c r="B19" s="13" t="s">
        <v>40</v>
      </c>
      <c r="C19" s="27">
        <f>C17+C18</f>
        <v>23</v>
      </c>
    </row>
    <row r="20" spans="1:6" s="13" customFormat="1" ht="12.75" x14ac:dyDescent="0.2">
      <c r="A20" s="23"/>
      <c r="C20" s="27"/>
    </row>
    <row r="21" spans="1:6" s="13" customFormat="1" ht="12.75" x14ac:dyDescent="0.2">
      <c r="A21" s="28" t="s">
        <v>45</v>
      </c>
    </row>
    <row r="22" spans="1:6" s="13" customFormat="1" ht="12.75" x14ac:dyDescent="0.2">
      <c r="A22" s="13" t="s">
        <v>46</v>
      </c>
      <c r="B22" s="13" t="s">
        <v>47</v>
      </c>
      <c r="C22" s="29">
        <f>380+20+0.3%*C19*1000</f>
        <v>469</v>
      </c>
      <c r="D22" s="30"/>
      <c r="E22" s="31"/>
      <c r="F22" s="32"/>
    </row>
    <row r="23" spans="1:6" s="13" customFormat="1" ht="12.75" x14ac:dyDescent="0.2">
      <c r="A23" s="13" t="s">
        <v>48</v>
      </c>
      <c r="B23" s="13" t="s">
        <v>7</v>
      </c>
      <c r="C23" s="33">
        <v>0</v>
      </c>
      <c r="D23" s="30"/>
      <c r="E23" s="31"/>
      <c r="F23" s="32"/>
    </row>
    <row r="24" spans="1:6" s="13" customFormat="1" ht="12.75" x14ac:dyDescent="0.2">
      <c r="A24" s="13" t="s">
        <v>49</v>
      </c>
      <c r="B24" s="13" t="s">
        <v>7</v>
      </c>
      <c r="C24" s="33">
        <v>0</v>
      </c>
    </row>
    <row r="25" spans="1:6" s="13" customFormat="1" ht="12.75" x14ac:dyDescent="0.2">
      <c r="C25" s="24"/>
    </row>
    <row r="26" spans="1:6" s="13" customFormat="1" ht="12.75" x14ac:dyDescent="0.2">
      <c r="A26" s="14" t="s">
        <v>50</v>
      </c>
    </row>
    <row r="27" spans="1:6" s="13" customFormat="1" ht="12.75" x14ac:dyDescent="0.2">
      <c r="A27" s="19" t="s">
        <v>51</v>
      </c>
      <c r="B27" s="19" t="s">
        <v>6</v>
      </c>
      <c r="C27" s="20">
        <v>0.7</v>
      </c>
    </row>
    <row r="28" spans="1:6" s="13" customFormat="1" ht="12.75" x14ac:dyDescent="0.2">
      <c r="A28" s="19" t="s">
        <v>52</v>
      </c>
      <c r="B28" s="19" t="s">
        <v>0</v>
      </c>
      <c r="C28" s="15">
        <v>10</v>
      </c>
    </row>
    <row r="29" spans="1:6" s="13" customFormat="1" ht="12.75" x14ac:dyDescent="0.2">
      <c r="A29" s="19" t="s">
        <v>53</v>
      </c>
      <c r="B29" s="19" t="s">
        <v>6</v>
      </c>
      <c r="C29" s="34">
        <v>0.1</v>
      </c>
    </row>
    <row r="30" spans="1:6" s="13" customFormat="1" ht="12.75" x14ac:dyDescent="0.2">
      <c r="A30" s="19" t="s">
        <v>43</v>
      </c>
      <c r="B30" s="19" t="s">
        <v>6</v>
      </c>
      <c r="C30" s="34">
        <v>0</v>
      </c>
    </row>
    <row r="31" spans="1:6" s="13" customFormat="1" ht="12.75" x14ac:dyDescent="0.2">
      <c r="A31" s="19" t="s">
        <v>54</v>
      </c>
      <c r="B31" s="19" t="s">
        <v>6</v>
      </c>
      <c r="C31" s="34">
        <v>0.18</v>
      </c>
    </row>
    <row r="32" spans="1:6" s="13" customFormat="1" ht="12.75" x14ac:dyDescent="0.2"/>
    <row r="33" spans="1:24" s="10" customFormat="1" ht="12.75" x14ac:dyDescent="0.2">
      <c r="A33" s="10" t="s">
        <v>1</v>
      </c>
      <c r="C33" s="12"/>
    </row>
    <row r="34" spans="1:24" s="13" customFormat="1" ht="12.75" x14ac:dyDescent="0.2"/>
    <row r="35" spans="1:24" s="13" customFormat="1" ht="12.75" x14ac:dyDescent="0.2">
      <c r="A35" s="13" t="s">
        <v>8</v>
      </c>
      <c r="B35" s="13" t="s">
        <v>6</v>
      </c>
      <c r="C35" s="35">
        <v>0.02</v>
      </c>
    </row>
    <row r="36" spans="1:24" s="13" customFormat="1" ht="12.75" x14ac:dyDescent="0.2">
      <c r="A36" s="13" t="s">
        <v>55</v>
      </c>
      <c r="B36" s="13" t="s">
        <v>6</v>
      </c>
      <c r="C36" s="36">
        <v>1</v>
      </c>
      <c r="D36" s="36">
        <f t="shared" ref="D36:X37" si="0">C36*(1+$C$35)</f>
        <v>1.02</v>
      </c>
      <c r="E36" s="36">
        <f t="shared" si="0"/>
        <v>1.0404</v>
      </c>
      <c r="F36" s="36">
        <f t="shared" si="0"/>
        <v>1.0612079999999999</v>
      </c>
      <c r="G36" s="36">
        <f t="shared" si="0"/>
        <v>1.08243216</v>
      </c>
      <c r="H36" s="36">
        <f t="shared" si="0"/>
        <v>1.1040808032</v>
      </c>
      <c r="I36" s="36">
        <f t="shared" si="0"/>
        <v>1.1261624192640001</v>
      </c>
      <c r="J36" s="36">
        <f t="shared" si="0"/>
        <v>1.14868566764928</v>
      </c>
      <c r="K36" s="36">
        <f t="shared" si="0"/>
        <v>1.1716593810022657</v>
      </c>
      <c r="L36" s="36">
        <f t="shared" si="0"/>
        <v>1.1950925686223111</v>
      </c>
      <c r="M36" s="36">
        <f t="shared" si="0"/>
        <v>1.2189944199947573</v>
      </c>
      <c r="N36" s="36">
        <f t="shared" si="0"/>
        <v>1.2433743083946525</v>
      </c>
      <c r="O36" s="36">
        <f t="shared" si="0"/>
        <v>1.2682417945625455</v>
      </c>
      <c r="P36" s="36">
        <f t="shared" si="0"/>
        <v>1.2936066304537963</v>
      </c>
      <c r="Q36" s="36">
        <f t="shared" si="0"/>
        <v>1.3194787630628724</v>
      </c>
      <c r="R36" s="36">
        <f t="shared" si="0"/>
        <v>1.3458683383241299</v>
      </c>
      <c r="S36" s="36">
        <f t="shared" si="0"/>
        <v>1.3727857050906125</v>
      </c>
      <c r="T36" s="36">
        <f t="shared" si="0"/>
        <v>1.4002414191924248</v>
      </c>
      <c r="U36" s="36">
        <f t="shared" si="0"/>
        <v>1.4282462475762734</v>
      </c>
      <c r="V36" s="36">
        <f t="shared" si="0"/>
        <v>1.4568111725277988</v>
      </c>
      <c r="W36" s="36">
        <f t="shared" si="0"/>
        <v>1.4859473959783549</v>
      </c>
      <c r="X36" s="36">
        <f t="shared" si="0"/>
        <v>1.5156663438979221</v>
      </c>
    </row>
    <row r="37" spans="1:24" s="13" customFormat="1" ht="12.75" x14ac:dyDescent="0.2">
      <c r="A37" s="13" t="s">
        <v>56</v>
      </c>
      <c r="B37" s="13" t="s">
        <v>6</v>
      </c>
      <c r="E37" s="37">
        <v>1</v>
      </c>
      <c r="F37" s="36">
        <f t="shared" si="0"/>
        <v>1.02</v>
      </c>
      <c r="G37" s="36">
        <f t="shared" si="0"/>
        <v>1.0404</v>
      </c>
      <c r="H37" s="36">
        <f t="shared" si="0"/>
        <v>1.0612079999999999</v>
      </c>
      <c r="I37" s="36">
        <f t="shared" si="0"/>
        <v>1.08243216</v>
      </c>
      <c r="J37" s="36">
        <f t="shared" si="0"/>
        <v>1.1040808032</v>
      </c>
      <c r="K37" s="36">
        <f t="shared" si="0"/>
        <v>1.1261624192640001</v>
      </c>
      <c r="L37" s="36">
        <f t="shared" si="0"/>
        <v>1.14868566764928</v>
      </c>
      <c r="M37" s="36">
        <f t="shared" si="0"/>
        <v>1.1716593810022657</v>
      </c>
      <c r="N37" s="36">
        <f t="shared" si="0"/>
        <v>1.1950925686223111</v>
      </c>
      <c r="O37" s="36">
        <f t="shared" si="0"/>
        <v>1.2189944199947573</v>
      </c>
      <c r="P37" s="36">
        <f t="shared" si="0"/>
        <v>1.2433743083946525</v>
      </c>
      <c r="Q37" s="36">
        <f t="shared" si="0"/>
        <v>1.2682417945625455</v>
      </c>
      <c r="R37" s="36">
        <f t="shared" si="0"/>
        <v>1.2936066304537963</v>
      </c>
      <c r="S37" s="36">
        <f t="shared" si="0"/>
        <v>1.3194787630628724</v>
      </c>
      <c r="T37" s="36">
        <f t="shared" si="0"/>
        <v>1.3458683383241299</v>
      </c>
      <c r="U37" s="36">
        <f t="shared" si="0"/>
        <v>1.3727857050906125</v>
      </c>
      <c r="V37" s="36">
        <f t="shared" si="0"/>
        <v>1.4002414191924248</v>
      </c>
      <c r="W37" s="36">
        <f t="shared" si="0"/>
        <v>1.4282462475762734</v>
      </c>
      <c r="X37" s="36">
        <f t="shared" si="0"/>
        <v>1.4568111725277988</v>
      </c>
    </row>
    <row r="38" spans="1:24" s="13" customFormat="1" ht="12.75" x14ac:dyDescent="0.2"/>
    <row r="39" spans="1:24" s="10" customFormat="1" ht="12.75" x14ac:dyDescent="0.2">
      <c r="A39" s="10" t="s">
        <v>57</v>
      </c>
      <c r="B39" s="10" t="s">
        <v>58</v>
      </c>
      <c r="C39" s="12"/>
    </row>
    <row r="40" spans="1:24" s="13" customFormat="1" ht="12.75" x14ac:dyDescent="0.2"/>
    <row r="41" spans="1:24" s="13" customFormat="1" ht="12.75" x14ac:dyDescent="0.2">
      <c r="A41" s="13" t="s">
        <v>59</v>
      </c>
      <c r="B41" s="13" t="s">
        <v>60</v>
      </c>
      <c r="E41" s="38">
        <v>10</v>
      </c>
    </row>
    <row r="42" spans="1:24" s="13" customFormat="1" ht="12.75" x14ac:dyDescent="0.2">
      <c r="A42" s="13" t="s">
        <v>61</v>
      </c>
      <c r="B42" s="13" t="s">
        <v>60</v>
      </c>
      <c r="C42" s="39">
        <f t="shared" ref="C42:X42" si="1">$E$41*C37</f>
        <v>0</v>
      </c>
      <c r="D42" s="39">
        <f t="shared" si="1"/>
        <v>0</v>
      </c>
      <c r="E42" s="39">
        <f t="shared" si="1"/>
        <v>10</v>
      </c>
      <c r="F42" s="39">
        <f t="shared" si="1"/>
        <v>10.199999999999999</v>
      </c>
      <c r="G42" s="39">
        <f t="shared" si="1"/>
        <v>10.404</v>
      </c>
      <c r="H42" s="39">
        <f t="shared" si="1"/>
        <v>10.612079999999999</v>
      </c>
      <c r="I42" s="39">
        <f t="shared" si="1"/>
        <v>10.824321599999999</v>
      </c>
      <c r="J42" s="39">
        <f t="shared" si="1"/>
        <v>11.040808032000001</v>
      </c>
      <c r="K42" s="39">
        <f t="shared" si="1"/>
        <v>11.261624192640001</v>
      </c>
      <c r="L42" s="39">
        <f t="shared" si="1"/>
        <v>11.486856676492801</v>
      </c>
      <c r="M42" s="39">
        <f t="shared" si="1"/>
        <v>11.716593810022658</v>
      </c>
      <c r="N42" s="39">
        <f t="shared" si="1"/>
        <v>11.95092568622311</v>
      </c>
      <c r="O42" s="39">
        <f t="shared" si="1"/>
        <v>12.189944199947574</v>
      </c>
      <c r="P42" s="39">
        <f t="shared" si="1"/>
        <v>12.433743083946524</v>
      </c>
      <c r="Q42" s="39">
        <f t="shared" si="1"/>
        <v>12.682417945625454</v>
      </c>
      <c r="R42" s="39">
        <f t="shared" si="1"/>
        <v>12.936066304537963</v>
      </c>
      <c r="S42" s="39">
        <f t="shared" si="1"/>
        <v>13.194787630628724</v>
      </c>
      <c r="T42" s="39">
        <f t="shared" si="1"/>
        <v>13.458683383241299</v>
      </c>
      <c r="U42" s="39">
        <f t="shared" si="1"/>
        <v>13.727857050906124</v>
      </c>
      <c r="V42" s="39">
        <f t="shared" si="1"/>
        <v>14.002414191924249</v>
      </c>
      <c r="W42" s="39">
        <f t="shared" si="1"/>
        <v>14.282462475762735</v>
      </c>
      <c r="X42" s="39">
        <f t="shared" si="1"/>
        <v>14.568111725277987</v>
      </c>
    </row>
    <row r="43" spans="1:24" s="13" customFormat="1" ht="12.75" x14ac:dyDescent="0.2"/>
    <row r="44" spans="1:24" s="10" customFormat="1" ht="12.75" x14ac:dyDescent="0.2">
      <c r="A44" s="10" t="s">
        <v>24</v>
      </c>
      <c r="C44" s="12"/>
    </row>
    <row r="45" spans="1:24" s="13" customFormat="1" ht="12.75" x14ac:dyDescent="0.2"/>
    <row r="46" spans="1:24" s="13" customFormat="1" ht="12.75" x14ac:dyDescent="0.2">
      <c r="A46" s="13" t="s">
        <v>27</v>
      </c>
      <c r="C46" s="13">
        <v>-1</v>
      </c>
      <c r="D46" s="13">
        <v>0</v>
      </c>
      <c r="E46" s="13">
        <v>1</v>
      </c>
      <c r="F46" s="13">
        <v>2</v>
      </c>
      <c r="G46" s="13">
        <v>3</v>
      </c>
      <c r="H46" s="13">
        <v>4</v>
      </c>
      <c r="I46" s="13">
        <v>5</v>
      </c>
      <c r="J46" s="13">
        <v>6</v>
      </c>
      <c r="K46" s="13">
        <v>7</v>
      </c>
      <c r="L46" s="13">
        <v>8</v>
      </c>
      <c r="M46" s="13">
        <v>9</v>
      </c>
      <c r="N46" s="13">
        <v>10</v>
      </c>
      <c r="O46" s="13">
        <v>11</v>
      </c>
      <c r="P46" s="13">
        <v>12</v>
      </c>
      <c r="Q46" s="13">
        <v>13</v>
      </c>
      <c r="R46" s="13">
        <v>14</v>
      </c>
      <c r="S46" s="13">
        <v>15</v>
      </c>
      <c r="T46" s="13">
        <v>16</v>
      </c>
      <c r="U46" s="13">
        <v>17</v>
      </c>
      <c r="V46" s="13">
        <v>18</v>
      </c>
      <c r="W46" s="13">
        <v>19</v>
      </c>
      <c r="X46" s="13">
        <v>20</v>
      </c>
    </row>
    <row r="47" spans="1:24" s="13" customFormat="1" ht="12.75" x14ac:dyDescent="0.2"/>
    <row r="48" spans="1:24" s="13" customFormat="1" ht="12.75" x14ac:dyDescent="0.2">
      <c r="A48" s="14" t="s">
        <v>10</v>
      </c>
      <c r="E48" s="40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s="13" customFormat="1" ht="12.75" x14ac:dyDescent="0.2">
      <c r="A49" s="13" t="s">
        <v>62</v>
      </c>
      <c r="B49" s="13" t="s">
        <v>40</v>
      </c>
      <c r="C49" s="41"/>
      <c r="D49" s="41"/>
      <c r="E49" s="41">
        <f t="shared" ref="E49:X49" si="2">E$42/100*$C$8*$C10*1000/10^6</f>
        <v>3.504</v>
      </c>
      <c r="F49" s="41">
        <f t="shared" si="2"/>
        <v>3.5740799999999999</v>
      </c>
      <c r="G49" s="41">
        <f t="shared" si="2"/>
        <v>3.6455616000000002</v>
      </c>
      <c r="H49" s="41">
        <f t="shared" si="2"/>
        <v>3.7184728319999998</v>
      </c>
      <c r="I49" s="41">
        <f t="shared" si="2"/>
        <v>3.7928422886399997</v>
      </c>
      <c r="J49" s="41">
        <f t="shared" si="2"/>
        <v>3.8686991344127999</v>
      </c>
      <c r="K49" s="41">
        <f t="shared" si="2"/>
        <v>3.946073117101057</v>
      </c>
      <c r="L49" s="41">
        <f t="shared" si="2"/>
        <v>4.0249945794430779</v>
      </c>
      <c r="M49" s="41">
        <f t="shared" si="2"/>
        <v>4.1054944710319399</v>
      </c>
      <c r="N49" s="41">
        <f t="shared" si="2"/>
        <v>4.1876043604525774</v>
      </c>
      <c r="O49" s="41">
        <f t="shared" si="2"/>
        <v>4.2713564476616286</v>
      </c>
      <c r="P49" s="41">
        <f t="shared" si="2"/>
        <v>4.3567835766148626</v>
      </c>
      <c r="Q49" s="41">
        <f t="shared" si="2"/>
        <v>4.443919248147159</v>
      </c>
      <c r="R49" s="41">
        <f t="shared" si="2"/>
        <v>4.5327976331101025</v>
      </c>
      <c r="S49" s="41">
        <f t="shared" si="2"/>
        <v>4.6234535857723049</v>
      </c>
      <c r="T49" s="41">
        <f t="shared" si="2"/>
        <v>4.7159226574877513</v>
      </c>
      <c r="U49" s="41">
        <f t="shared" si="2"/>
        <v>4.8102411106375058</v>
      </c>
      <c r="V49" s="41">
        <f t="shared" si="2"/>
        <v>4.9064459328502563</v>
      </c>
      <c r="W49" s="41">
        <f t="shared" si="2"/>
        <v>5.0045748515072637</v>
      </c>
      <c r="X49" s="41">
        <f t="shared" si="2"/>
        <v>5.1046663485374069</v>
      </c>
    </row>
    <row r="50" spans="1:24" s="13" customFormat="1" ht="12.75" x14ac:dyDescent="0.2">
      <c r="A50" s="13" t="s">
        <v>63</v>
      </c>
      <c r="B50" s="13" t="s">
        <v>40</v>
      </c>
      <c r="C50" s="41"/>
      <c r="D50" s="41"/>
      <c r="E50" s="41">
        <f t="shared" ref="E50:X50" si="3">-$C22*1000/10^6*E36</f>
        <v>-0.48794759999999998</v>
      </c>
      <c r="F50" s="41">
        <f t="shared" si="3"/>
        <v>-0.49770655199999991</v>
      </c>
      <c r="G50" s="41">
        <f t="shared" si="3"/>
        <v>-0.50766068304</v>
      </c>
      <c r="H50" s="41">
        <f t="shared" si="3"/>
        <v>-0.51781389670080002</v>
      </c>
      <c r="I50" s="41">
        <f t="shared" si="3"/>
        <v>-0.52817017463481597</v>
      </c>
      <c r="J50" s="41">
        <f t="shared" si="3"/>
        <v>-0.53873357812751232</v>
      </c>
      <c r="K50" s="41">
        <f t="shared" si="3"/>
        <v>-0.54950824969006262</v>
      </c>
      <c r="L50" s="41">
        <f t="shared" si="3"/>
        <v>-0.56049841468386385</v>
      </c>
      <c r="M50" s="41">
        <f t="shared" si="3"/>
        <v>-0.57170838297754112</v>
      </c>
      <c r="N50" s="41">
        <f t="shared" si="3"/>
        <v>-0.58314255063709197</v>
      </c>
      <c r="O50" s="41">
        <f t="shared" si="3"/>
        <v>-0.59480540164983375</v>
      </c>
      <c r="P50" s="41">
        <f t="shared" si="3"/>
        <v>-0.60670150968283043</v>
      </c>
      <c r="Q50" s="41">
        <f t="shared" si="3"/>
        <v>-0.6188355398764871</v>
      </c>
      <c r="R50" s="41">
        <f t="shared" si="3"/>
        <v>-0.63121225067401687</v>
      </c>
      <c r="S50" s="41">
        <f t="shared" si="3"/>
        <v>-0.64383649568749723</v>
      </c>
      <c r="T50" s="41">
        <f t="shared" si="3"/>
        <v>-0.65671322560124723</v>
      </c>
      <c r="U50" s="41">
        <f t="shared" si="3"/>
        <v>-0.66984749011327216</v>
      </c>
      <c r="V50" s="41">
        <f t="shared" si="3"/>
        <v>-0.68324443991553763</v>
      </c>
      <c r="W50" s="41">
        <f t="shared" si="3"/>
        <v>-0.69690932871384836</v>
      </c>
      <c r="X50" s="41">
        <f t="shared" si="3"/>
        <v>-0.7108475152881254</v>
      </c>
    </row>
    <row r="51" spans="1:24" s="13" customFormat="1" ht="12.75" x14ac:dyDescent="0.2">
      <c r="A51" s="13" t="s">
        <v>64</v>
      </c>
      <c r="B51" s="13" t="s">
        <v>40</v>
      </c>
      <c r="C51" s="41"/>
      <c r="D51" s="41"/>
      <c r="E51" s="41">
        <f>-$C$24*$C$8*$C$10/10^6*E36</f>
        <v>0</v>
      </c>
      <c r="F51" s="41">
        <f t="shared" ref="F51:X51" si="4">-$C$24*$C$8*$C$10/10^6*F36</f>
        <v>0</v>
      </c>
      <c r="G51" s="41">
        <f t="shared" si="4"/>
        <v>0</v>
      </c>
      <c r="H51" s="41">
        <f t="shared" si="4"/>
        <v>0</v>
      </c>
      <c r="I51" s="41">
        <f t="shared" si="4"/>
        <v>0</v>
      </c>
      <c r="J51" s="41">
        <f t="shared" si="4"/>
        <v>0</v>
      </c>
      <c r="K51" s="41">
        <f t="shared" si="4"/>
        <v>0</v>
      </c>
      <c r="L51" s="41">
        <f t="shared" si="4"/>
        <v>0</v>
      </c>
      <c r="M51" s="41">
        <f t="shared" si="4"/>
        <v>0</v>
      </c>
      <c r="N51" s="41">
        <f t="shared" si="4"/>
        <v>0</v>
      </c>
      <c r="O51" s="41">
        <f t="shared" si="4"/>
        <v>0</v>
      </c>
      <c r="P51" s="41">
        <f t="shared" si="4"/>
        <v>0</v>
      </c>
      <c r="Q51" s="41">
        <f t="shared" si="4"/>
        <v>0</v>
      </c>
      <c r="R51" s="41">
        <f t="shared" si="4"/>
        <v>0</v>
      </c>
      <c r="S51" s="41">
        <f t="shared" si="4"/>
        <v>0</v>
      </c>
      <c r="T51" s="41">
        <f t="shared" si="4"/>
        <v>0</v>
      </c>
      <c r="U51" s="41">
        <f t="shared" si="4"/>
        <v>0</v>
      </c>
      <c r="V51" s="41">
        <f t="shared" si="4"/>
        <v>0</v>
      </c>
      <c r="W51" s="41">
        <f t="shared" si="4"/>
        <v>0</v>
      </c>
      <c r="X51" s="41">
        <f t="shared" si="4"/>
        <v>0</v>
      </c>
    </row>
    <row r="52" spans="1:24" s="13" customFormat="1" ht="12.75" x14ac:dyDescent="0.2">
      <c r="A52" s="13" t="s">
        <v>9</v>
      </c>
      <c r="B52" s="13" t="s">
        <v>40</v>
      </c>
      <c r="C52" s="41"/>
      <c r="D52" s="41"/>
      <c r="E52" s="41">
        <f>-(SUM($C60:$D60)+SUM($C61:D61))*$C29</f>
        <v>-1.6261000000000001</v>
      </c>
      <c r="F52" s="41">
        <f>-(SUM($C60:$D60)+SUM($C61:E61))*$C29</f>
        <v>-1.4634900000000002</v>
      </c>
      <c r="G52" s="41">
        <f>-(SUM($C60:$D60)+SUM($C61:F61))*$C29</f>
        <v>-1.30088</v>
      </c>
      <c r="H52" s="41">
        <f>-(SUM($C60:$D60)+SUM($C61:G61))*$C29</f>
        <v>-1.1382700000000001</v>
      </c>
      <c r="I52" s="41">
        <f>-(SUM($C60:$D60)+SUM($C61:H61))*$C29</f>
        <v>-0.97565999999999997</v>
      </c>
      <c r="J52" s="41">
        <f>-(SUM($C60:$D60)+SUM($C61:I61))*$C29</f>
        <v>-0.81305000000000005</v>
      </c>
      <c r="K52" s="41">
        <f>-(SUM($C60:$D60)+SUM($C61:J61))*$C29</f>
        <v>-0.65044000000000013</v>
      </c>
      <c r="L52" s="41">
        <f>-(SUM($C60:$D60)+SUM($C61:K61))*$C29</f>
        <v>-0.48783000000000015</v>
      </c>
      <c r="M52" s="41">
        <f>-(SUM($C60:$D60)+SUM($C61:L61))*$C29</f>
        <v>-0.32522000000000023</v>
      </c>
      <c r="N52" s="41">
        <f>-(SUM($C60:$D60)+SUM($C61:M61))*$C29</f>
        <v>-0.16261000000000028</v>
      </c>
      <c r="O52" s="41">
        <f>-(SUM($C60:$D60)+SUM($C61:N61))*$C29</f>
        <v>-3.5527136788005011E-16</v>
      </c>
      <c r="P52" s="41">
        <f>-(SUM($C60:$D60)+SUM($C61:O61))*$C29</f>
        <v>-3.5527136788005011E-16</v>
      </c>
      <c r="Q52" s="41">
        <f>-(SUM($C60:$D60)+SUM($C61:P61))*$C29</f>
        <v>-3.5527136788005011E-16</v>
      </c>
      <c r="R52" s="41">
        <f>-(SUM($C60:$D60)+SUM($C61:Q61))*$C29</f>
        <v>-3.5527136788005011E-16</v>
      </c>
      <c r="S52" s="41">
        <f>-(SUM($C60:$D60)+SUM($C61:R61))*$C29</f>
        <v>-3.5527136788005011E-16</v>
      </c>
      <c r="T52" s="41">
        <f>-(SUM($C60:$D60)+SUM($C61:S61))*$C29</f>
        <v>-3.5527136788005011E-16</v>
      </c>
      <c r="U52" s="41">
        <f>-(SUM($C60:$D60)+SUM($C61:T61))*$C29</f>
        <v>-3.5527136788005011E-16</v>
      </c>
      <c r="V52" s="41">
        <f>-(SUM($C60:$D60)+SUM($C61:U61))*$C29</f>
        <v>-3.5527136788005011E-16</v>
      </c>
      <c r="W52" s="41">
        <f>-(SUM($C60:$D60)+SUM($C61:V61))*$C29</f>
        <v>-3.5527136788005011E-16</v>
      </c>
      <c r="X52" s="41">
        <f>-(SUM($C60:$D60)+SUM($C61:W61))*$C29</f>
        <v>-3.5527136788005011E-16</v>
      </c>
    </row>
    <row r="53" spans="1:24" s="13" customFormat="1" ht="12.75" x14ac:dyDescent="0.2">
      <c r="A53" s="23" t="s">
        <v>11</v>
      </c>
      <c r="B53" s="13" t="s">
        <v>40</v>
      </c>
      <c r="C53" s="41">
        <f t="shared" ref="C53:X53" si="5">SUM(C49:C52)</f>
        <v>0</v>
      </c>
      <c r="D53" s="41">
        <f t="shared" si="5"/>
        <v>0</v>
      </c>
      <c r="E53" s="41">
        <f t="shared" si="5"/>
        <v>1.3899523999999999</v>
      </c>
      <c r="F53" s="41">
        <f t="shared" si="5"/>
        <v>1.6128834479999998</v>
      </c>
      <c r="G53" s="41">
        <f t="shared" si="5"/>
        <v>1.83702091696</v>
      </c>
      <c r="H53" s="41">
        <f t="shared" si="5"/>
        <v>2.0623889352991993</v>
      </c>
      <c r="I53" s="41">
        <f t="shared" si="5"/>
        <v>2.289012114005184</v>
      </c>
      <c r="J53" s="41">
        <f t="shared" si="5"/>
        <v>2.5169155562852876</v>
      </c>
      <c r="K53" s="41">
        <f t="shared" si="5"/>
        <v>2.7461248674109942</v>
      </c>
      <c r="L53" s="41">
        <f t="shared" si="5"/>
        <v>2.9766661647592136</v>
      </c>
      <c r="M53" s="41">
        <f t="shared" si="5"/>
        <v>3.2085660880543982</v>
      </c>
      <c r="N53" s="41">
        <f t="shared" si="5"/>
        <v>3.4418518098154851</v>
      </c>
      <c r="O53" s="41">
        <f t="shared" si="5"/>
        <v>3.6765510460117943</v>
      </c>
      <c r="P53" s="41">
        <f t="shared" si="5"/>
        <v>3.7500820669320318</v>
      </c>
      <c r="Q53" s="41">
        <f t="shared" si="5"/>
        <v>3.8250837082706712</v>
      </c>
      <c r="R53" s="41">
        <f t="shared" si="5"/>
        <v>3.9015853824360853</v>
      </c>
      <c r="S53" s="41">
        <f t="shared" si="5"/>
        <v>3.9796170900848074</v>
      </c>
      <c r="T53" s="41">
        <f t="shared" si="5"/>
        <v>4.0592094318865044</v>
      </c>
      <c r="U53" s="41">
        <f t="shared" si="5"/>
        <v>4.1403936205242333</v>
      </c>
      <c r="V53" s="41">
        <f t="shared" si="5"/>
        <v>4.2232014929347184</v>
      </c>
      <c r="W53" s="41">
        <f t="shared" si="5"/>
        <v>4.3076655227934157</v>
      </c>
      <c r="X53" s="41">
        <f t="shared" si="5"/>
        <v>4.3938188332492816</v>
      </c>
    </row>
    <row r="54" spans="1:24" s="13" customFormat="1" ht="12.75" x14ac:dyDescent="0.2">
      <c r="C54" s="32"/>
      <c r="D54" s="32"/>
      <c r="E54" s="40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1:24" s="13" customFormat="1" ht="12.75" x14ac:dyDescent="0.2">
      <c r="A55" s="14" t="s">
        <v>12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 s="13" customFormat="1" ht="12.75" x14ac:dyDescent="0.2">
      <c r="A56" s="13" t="s">
        <v>13</v>
      </c>
      <c r="B56" s="13" t="s">
        <v>40</v>
      </c>
      <c r="C56" s="41">
        <f>-C19*C13*C36</f>
        <v>-11.5</v>
      </c>
      <c r="D56" s="41">
        <f>-C19*(1-C13)*D36</f>
        <v>-11.73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spans="1:24" s="13" customFormat="1" ht="12.75" x14ac:dyDescent="0.2">
      <c r="A57" s="23" t="s">
        <v>14</v>
      </c>
      <c r="B57" s="13" t="s">
        <v>40</v>
      </c>
      <c r="C57" s="41">
        <f t="shared" ref="C57:X57" si="6">SUM(C56)</f>
        <v>-11.5</v>
      </c>
      <c r="D57" s="41">
        <f t="shared" si="6"/>
        <v>-11.73</v>
      </c>
      <c r="E57" s="41">
        <f t="shared" si="6"/>
        <v>0</v>
      </c>
      <c r="F57" s="41">
        <f t="shared" si="6"/>
        <v>0</v>
      </c>
      <c r="G57" s="41">
        <f t="shared" si="6"/>
        <v>0</v>
      </c>
      <c r="H57" s="41">
        <f t="shared" si="6"/>
        <v>0</v>
      </c>
      <c r="I57" s="41">
        <f t="shared" si="6"/>
        <v>0</v>
      </c>
      <c r="J57" s="41">
        <f t="shared" si="6"/>
        <v>0</v>
      </c>
      <c r="K57" s="41">
        <f t="shared" si="6"/>
        <v>0</v>
      </c>
      <c r="L57" s="41">
        <f t="shared" si="6"/>
        <v>0</v>
      </c>
      <c r="M57" s="41">
        <f t="shared" si="6"/>
        <v>0</v>
      </c>
      <c r="N57" s="41">
        <f t="shared" si="6"/>
        <v>0</v>
      </c>
      <c r="O57" s="41">
        <f t="shared" si="6"/>
        <v>0</v>
      </c>
      <c r="P57" s="41">
        <f t="shared" si="6"/>
        <v>0</v>
      </c>
      <c r="Q57" s="41">
        <f t="shared" si="6"/>
        <v>0</v>
      </c>
      <c r="R57" s="41">
        <f t="shared" si="6"/>
        <v>0</v>
      </c>
      <c r="S57" s="41">
        <f t="shared" si="6"/>
        <v>0</v>
      </c>
      <c r="T57" s="41">
        <f t="shared" si="6"/>
        <v>0</v>
      </c>
      <c r="U57" s="41">
        <f t="shared" si="6"/>
        <v>0</v>
      </c>
      <c r="V57" s="41">
        <f t="shared" si="6"/>
        <v>0</v>
      </c>
      <c r="W57" s="41">
        <f t="shared" si="6"/>
        <v>0</v>
      </c>
      <c r="X57" s="41">
        <f t="shared" si="6"/>
        <v>0</v>
      </c>
    </row>
    <row r="58" spans="1:24" s="13" customFormat="1" ht="12.75" x14ac:dyDescent="0.2">
      <c r="A58" s="23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spans="1:24" s="13" customFormat="1" ht="12.75" x14ac:dyDescent="0.2">
      <c r="A59" s="14" t="s">
        <v>15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24" s="13" customFormat="1" ht="12.75" x14ac:dyDescent="0.2">
      <c r="A60" s="13" t="s">
        <v>16</v>
      </c>
      <c r="B60" s="13" t="s">
        <v>40</v>
      </c>
      <c r="C60" s="41">
        <f>-C57*($C27)</f>
        <v>8.0499999999999989</v>
      </c>
      <c r="D60" s="41">
        <f>-D57*($C27)</f>
        <v>8.2110000000000003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24" s="13" customFormat="1" ht="12.75" x14ac:dyDescent="0.2">
      <c r="A61" s="13" t="s">
        <v>17</v>
      </c>
      <c r="B61" s="13" t="s">
        <v>40</v>
      </c>
      <c r="C61" s="41"/>
      <c r="D61" s="41"/>
      <c r="E61" s="41">
        <f>-IF(-SUM($C61:D61)=SUM($C60:$D60),0,SUM($C60:$D60)/$C28)</f>
        <v>-1.6260999999999999</v>
      </c>
      <c r="F61" s="41">
        <f>-IF(-SUM($C61:E61)=SUM($C60:$D60),0,SUM($C60:$D60)/$C28)</f>
        <v>-1.6260999999999999</v>
      </c>
      <c r="G61" s="41">
        <f>-IF(-SUM($C61:F61)=SUM($C60:$D60),0,SUM($C60:$D60)/$C28)</f>
        <v>-1.6260999999999999</v>
      </c>
      <c r="H61" s="41">
        <f>-IF(-SUM($C61:G61)=SUM($C60:$D60),0,SUM($C60:$D60)/$C28)</f>
        <v>-1.6260999999999999</v>
      </c>
      <c r="I61" s="41">
        <f>-IF(-SUM($C61:H61)=SUM($C60:$D60),0,SUM($C60:$D60)/$C28)</f>
        <v>-1.6260999999999999</v>
      </c>
      <c r="J61" s="41">
        <f>-IF(-SUM($C61:I61)=SUM($C60:$D60),0,SUM($C60:$D60)/$C28)</f>
        <v>-1.6260999999999999</v>
      </c>
      <c r="K61" s="41">
        <f>-IF(-SUM($C61:J61)=SUM($C60:$D60),0,SUM($C60:$D60)/$C28)</f>
        <v>-1.6260999999999999</v>
      </c>
      <c r="L61" s="41">
        <f>-IF(-SUM($C61:K61)=SUM($C60:$D60),0,SUM($C60:$D60)/$C28)</f>
        <v>-1.6260999999999999</v>
      </c>
      <c r="M61" s="41">
        <f>-IF(-SUM($C61:L61)=SUM($C60:$D60),0,SUM($C60:$D60)/$C28)</f>
        <v>-1.6260999999999999</v>
      </c>
      <c r="N61" s="41">
        <f>-IF(-SUM($C61:M61)=SUM($C60:$D60),0,SUM($C60:$D60)/$C28)</f>
        <v>-1.6260999999999999</v>
      </c>
      <c r="O61" s="41">
        <f>-IF(-SUM($C61:N61)=SUM($C60:$D60),0,SUM($C60:$D60)/$C28)</f>
        <v>0</v>
      </c>
      <c r="P61" s="41">
        <f>-IF(-SUM($C61:O61)=SUM($C60:$D60),0,SUM($C60:$D60)/$C28)</f>
        <v>0</v>
      </c>
      <c r="Q61" s="41">
        <f>-IF(-SUM($C61:P61)=SUM($C60:$D60),0,SUM($C60:$D60)/$C28)</f>
        <v>0</v>
      </c>
      <c r="R61" s="41">
        <f>-IF(-SUM($C61:Q61)=SUM($C60:$D60),0,SUM($C60:$D60)/$C28)</f>
        <v>0</v>
      </c>
      <c r="S61" s="41">
        <f>-IF(-SUM($C61:R61)=SUM($C60:$D60),0,SUM($C60:$D60)/$C28)</f>
        <v>0</v>
      </c>
      <c r="T61" s="41">
        <f>-IF(-SUM($C61:S61)=SUM($C60:$D60),0,SUM($C60:$D60)/$C28)</f>
        <v>0</v>
      </c>
      <c r="U61" s="41">
        <f>-IF(-SUM($C61:T61)=SUM($C60:$D60),0,SUM($C60:$D60)/$C28)</f>
        <v>0</v>
      </c>
      <c r="V61" s="41">
        <f>-IF(-SUM($C61:U61)=SUM($C60:$D60),0,SUM($C60:$D60)/$C28)</f>
        <v>0</v>
      </c>
      <c r="W61" s="41">
        <f>-IF(-SUM($C61:V61)=SUM($C60:$D60),0,SUM($C60:$D60)/$C28)</f>
        <v>0</v>
      </c>
      <c r="X61" s="41">
        <f>-IF(-SUM($C61:W61)=SUM($C60:$D60),0,SUM($C60:$D60)/$C28)</f>
        <v>0</v>
      </c>
    </row>
    <row r="62" spans="1:24" s="13" customFormat="1" ht="12.75" x14ac:dyDescent="0.2">
      <c r="A62" s="13" t="s">
        <v>18</v>
      </c>
      <c r="B62" s="13" t="s">
        <v>40</v>
      </c>
      <c r="C62" s="41">
        <f>-C57*(1-$C27)</f>
        <v>3.4500000000000006</v>
      </c>
      <c r="D62" s="41">
        <f>-D57*(1-$C27)</f>
        <v>3.5190000000000006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24" s="13" customFormat="1" ht="12.75" x14ac:dyDescent="0.2">
      <c r="A63" s="23" t="s">
        <v>19</v>
      </c>
      <c r="B63" s="13" t="s">
        <v>40</v>
      </c>
      <c r="C63" s="41">
        <f t="shared" ref="C63:X63" si="7">SUM(C60:C62)</f>
        <v>11.5</v>
      </c>
      <c r="D63" s="41">
        <f t="shared" si="7"/>
        <v>11.73</v>
      </c>
      <c r="E63" s="41">
        <f t="shared" si="7"/>
        <v>-1.6260999999999999</v>
      </c>
      <c r="F63" s="41">
        <f t="shared" si="7"/>
        <v>-1.6260999999999999</v>
      </c>
      <c r="G63" s="41">
        <f t="shared" si="7"/>
        <v>-1.6260999999999999</v>
      </c>
      <c r="H63" s="41">
        <f t="shared" si="7"/>
        <v>-1.6260999999999999</v>
      </c>
      <c r="I63" s="41">
        <f t="shared" si="7"/>
        <v>-1.6260999999999999</v>
      </c>
      <c r="J63" s="41">
        <f t="shared" si="7"/>
        <v>-1.6260999999999999</v>
      </c>
      <c r="K63" s="41">
        <f t="shared" si="7"/>
        <v>-1.6260999999999999</v>
      </c>
      <c r="L63" s="41">
        <f t="shared" si="7"/>
        <v>-1.6260999999999999</v>
      </c>
      <c r="M63" s="41">
        <f t="shared" si="7"/>
        <v>-1.6260999999999999</v>
      </c>
      <c r="N63" s="41">
        <f t="shared" si="7"/>
        <v>-1.6260999999999999</v>
      </c>
      <c r="O63" s="41">
        <f t="shared" si="7"/>
        <v>0</v>
      </c>
      <c r="P63" s="41">
        <f t="shared" si="7"/>
        <v>0</v>
      </c>
      <c r="Q63" s="41">
        <f t="shared" si="7"/>
        <v>0</v>
      </c>
      <c r="R63" s="41">
        <f t="shared" si="7"/>
        <v>0</v>
      </c>
      <c r="S63" s="41">
        <f t="shared" si="7"/>
        <v>0</v>
      </c>
      <c r="T63" s="41">
        <f t="shared" si="7"/>
        <v>0</v>
      </c>
      <c r="U63" s="41">
        <f t="shared" si="7"/>
        <v>0</v>
      </c>
      <c r="V63" s="41">
        <f t="shared" si="7"/>
        <v>0</v>
      </c>
      <c r="W63" s="41">
        <f t="shared" si="7"/>
        <v>0</v>
      </c>
      <c r="X63" s="41">
        <f t="shared" si="7"/>
        <v>0</v>
      </c>
    </row>
    <row r="64" spans="1:24" s="13" customFormat="1" ht="12.75" x14ac:dyDescent="0.2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13" customFormat="1" ht="12.75" x14ac:dyDescent="0.2">
      <c r="A65" s="14" t="s">
        <v>20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13" customFormat="1" ht="12.75" x14ac:dyDescent="0.2">
      <c r="A66" s="13" t="s">
        <v>21</v>
      </c>
      <c r="B66" s="13" t="s">
        <v>40</v>
      </c>
      <c r="C66" s="41">
        <v>0</v>
      </c>
      <c r="D66" s="41">
        <f t="shared" ref="D66:X66" si="8">C68</f>
        <v>0</v>
      </c>
      <c r="E66" s="41">
        <f t="shared" si="8"/>
        <v>0</v>
      </c>
      <c r="F66" s="41">
        <f t="shared" si="8"/>
        <v>-0.23614760000000001</v>
      </c>
      <c r="G66" s="41">
        <f t="shared" si="8"/>
        <v>-0.24936415200000006</v>
      </c>
      <c r="H66" s="41">
        <f t="shared" si="8"/>
        <v>-3.8443235039999912E-2</v>
      </c>
      <c r="I66" s="41">
        <f t="shared" si="8"/>
        <v>0.39784570025919952</v>
      </c>
      <c r="J66" s="41">
        <f t="shared" si="8"/>
        <v>1.0607578142643836</v>
      </c>
      <c r="K66" s="41">
        <f t="shared" si="8"/>
        <v>1.9515733705496714</v>
      </c>
      <c r="L66" s="41">
        <f t="shared" si="8"/>
        <v>3.0715982379606657</v>
      </c>
      <c r="M66" s="41">
        <f t="shared" si="8"/>
        <v>4.4221644027198792</v>
      </c>
      <c r="N66" s="41">
        <f t="shared" si="8"/>
        <v>6.0046304907742778</v>
      </c>
      <c r="O66" s="41">
        <f t="shared" si="8"/>
        <v>7.8203823005897632</v>
      </c>
      <c r="P66" s="41">
        <f t="shared" si="8"/>
        <v>11.496933346601558</v>
      </c>
      <c r="Q66" s="41">
        <f t="shared" si="8"/>
        <v>15.247015413533591</v>
      </c>
      <c r="R66" s="41">
        <f t="shared" si="8"/>
        <v>19.072099121804261</v>
      </c>
      <c r="S66" s="41">
        <f t="shared" si="8"/>
        <v>22.973684504240346</v>
      </c>
      <c r="T66" s="41">
        <f t="shared" si="8"/>
        <v>26.953301594325154</v>
      </c>
      <c r="U66" s="41">
        <f t="shared" si="8"/>
        <v>31.012511026211659</v>
      </c>
      <c r="V66" s="41">
        <f t="shared" si="8"/>
        <v>35.152904646735891</v>
      </c>
      <c r="W66" s="41">
        <f t="shared" si="8"/>
        <v>39.376106139670611</v>
      </c>
      <c r="X66" s="41">
        <f t="shared" si="8"/>
        <v>43.683771662464025</v>
      </c>
    </row>
    <row r="67" spans="1:24" s="13" customFormat="1" ht="12.75" x14ac:dyDescent="0.2">
      <c r="A67" s="13" t="s">
        <v>22</v>
      </c>
      <c r="B67" s="13" t="s">
        <v>40</v>
      </c>
      <c r="C67" s="41">
        <f t="shared" ref="C67:X67" si="9">C53+C57+C63</f>
        <v>0</v>
      </c>
      <c r="D67" s="41">
        <f t="shared" si="9"/>
        <v>0</v>
      </c>
      <c r="E67" s="41">
        <f t="shared" si="9"/>
        <v>-0.23614760000000001</v>
      </c>
      <c r="F67" s="41">
        <f t="shared" si="9"/>
        <v>-1.3216552000000048E-2</v>
      </c>
      <c r="G67" s="41">
        <f t="shared" si="9"/>
        <v>0.21092091696000015</v>
      </c>
      <c r="H67" s="41">
        <f t="shared" si="9"/>
        <v>0.43628893529919943</v>
      </c>
      <c r="I67" s="41">
        <f t="shared" si="9"/>
        <v>0.66291211400518413</v>
      </c>
      <c r="J67" s="41">
        <f t="shared" si="9"/>
        <v>0.89081555628528775</v>
      </c>
      <c r="K67" s="41">
        <f t="shared" si="9"/>
        <v>1.1200248674109943</v>
      </c>
      <c r="L67" s="41">
        <f t="shared" si="9"/>
        <v>1.3505661647592138</v>
      </c>
      <c r="M67" s="41">
        <f t="shared" si="9"/>
        <v>1.5824660880543984</v>
      </c>
      <c r="N67" s="41">
        <f t="shared" si="9"/>
        <v>1.8157518098154852</v>
      </c>
      <c r="O67" s="41">
        <f t="shared" si="9"/>
        <v>3.6765510460117943</v>
      </c>
      <c r="P67" s="41">
        <f t="shared" si="9"/>
        <v>3.7500820669320318</v>
      </c>
      <c r="Q67" s="41">
        <f t="shared" si="9"/>
        <v>3.8250837082706712</v>
      </c>
      <c r="R67" s="41">
        <f t="shared" si="9"/>
        <v>3.9015853824360853</v>
      </c>
      <c r="S67" s="41">
        <f t="shared" si="9"/>
        <v>3.9796170900848074</v>
      </c>
      <c r="T67" s="41">
        <f t="shared" si="9"/>
        <v>4.0592094318865044</v>
      </c>
      <c r="U67" s="41">
        <f t="shared" si="9"/>
        <v>4.1403936205242333</v>
      </c>
      <c r="V67" s="41">
        <f t="shared" si="9"/>
        <v>4.2232014929347184</v>
      </c>
      <c r="W67" s="41">
        <f t="shared" si="9"/>
        <v>4.3076655227934157</v>
      </c>
      <c r="X67" s="41">
        <f t="shared" si="9"/>
        <v>4.3938188332492816</v>
      </c>
    </row>
    <row r="68" spans="1:24" s="13" customFormat="1" ht="12.75" x14ac:dyDescent="0.2">
      <c r="A68" s="13" t="s">
        <v>23</v>
      </c>
      <c r="B68" s="13" t="s">
        <v>40</v>
      </c>
      <c r="C68" s="41">
        <f t="shared" ref="C68:X68" si="10">C66+C67</f>
        <v>0</v>
      </c>
      <c r="D68" s="41">
        <f t="shared" si="10"/>
        <v>0</v>
      </c>
      <c r="E68" s="41">
        <f t="shared" si="10"/>
        <v>-0.23614760000000001</v>
      </c>
      <c r="F68" s="41">
        <f t="shared" si="10"/>
        <v>-0.24936415200000006</v>
      </c>
      <c r="G68" s="41">
        <f t="shared" si="10"/>
        <v>-3.8443235039999912E-2</v>
      </c>
      <c r="H68" s="41">
        <f t="shared" si="10"/>
        <v>0.39784570025919952</v>
      </c>
      <c r="I68" s="41">
        <f t="shared" si="10"/>
        <v>1.0607578142643836</v>
      </c>
      <c r="J68" s="41">
        <f t="shared" si="10"/>
        <v>1.9515733705496714</v>
      </c>
      <c r="K68" s="41">
        <f t="shared" si="10"/>
        <v>3.0715982379606657</v>
      </c>
      <c r="L68" s="41">
        <f t="shared" si="10"/>
        <v>4.4221644027198792</v>
      </c>
      <c r="M68" s="41">
        <f t="shared" si="10"/>
        <v>6.0046304907742778</v>
      </c>
      <c r="N68" s="41">
        <f t="shared" si="10"/>
        <v>7.8203823005897632</v>
      </c>
      <c r="O68" s="41">
        <f t="shared" si="10"/>
        <v>11.496933346601558</v>
      </c>
      <c r="P68" s="41">
        <f t="shared" si="10"/>
        <v>15.247015413533591</v>
      </c>
      <c r="Q68" s="41">
        <f t="shared" si="10"/>
        <v>19.072099121804261</v>
      </c>
      <c r="R68" s="41">
        <f t="shared" si="10"/>
        <v>22.973684504240346</v>
      </c>
      <c r="S68" s="41">
        <f t="shared" si="10"/>
        <v>26.953301594325154</v>
      </c>
      <c r="T68" s="41">
        <f t="shared" si="10"/>
        <v>31.012511026211659</v>
      </c>
      <c r="U68" s="41">
        <f t="shared" si="10"/>
        <v>35.152904646735891</v>
      </c>
      <c r="V68" s="41">
        <f t="shared" si="10"/>
        <v>39.376106139670611</v>
      </c>
      <c r="W68" s="41">
        <f t="shared" si="10"/>
        <v>43.683771662464025</v>
      </c>
      <c r="X68" s="41">
        <f t="shared" si="10"/>
        <v>48.077590495713309</v>
      </c>
    </row>
    <row r="69" spans="1:24" s="13" customFormat="1" ht="12.75" x14ac:dyDescent="0.2"/>
    <row r="70" spans="1:24" s="13" customFormat="1" ht="12.75" x14ac:dyDescent="0.2">
      <c r="A70" s="14" t="s">
        <v>25</v>
      </c>
    </row>
    <row r="71" spans="1:24" s="13" customFormat="1" ht="12.75" x14ac:dyDescent="0.2">
      <c r="A71" s="13" t="s">
        <v>65</v>
      </c>
      <c r="B71" s="13" t="s">
        <v>40</v>
      </c>
      <c r="C71" s="42">
        <f t="shared" ref="C71:X71" si="11">-C62+C67</f>
        <v>-3.4500000000000006</v>
      </c>
      <c r="D71" s="42">
        <f t="shared" si="11"/>
        <v>-3.5190000000000006</v>
      </c>
      <c r="E71" s="42">
        <f t="shared" si="11"/>
        <v>-0.23614760000000001</v>
      </c>
      <c r="F71" s="42">
        <f t="shared" si="11"/>
        <v>-1.3216552000000048E-2</v>
      </c>
      <c r="G71" s="41">
        <f t="shared" si="11"/>
        <v>0.21092091696000015</v>
      </c>
      <c r="H71" s="41">
        <f t="shared" si="11"/>
        <v>0.43628893529919943</v>
      </c>
      <c r="I71" s="41">
        <f t="shared" si="11"/>
        <v>0.66291211400518413</v>
      </c>
      <c r="J71" s="41">
        <f t="shared" si="11"/>
        <v>0.89081555628528775</v>
      </c>
      <c r="K71" s="41">
        <f t="shared" si="11"/>
        <v>1.1200248674109943</v>
      </c>
      <c r="L71" s="41">
        <f t="shared" si="11"/>
        <v>1.3505661647592138</v>
      </c>
      <c r="M71" s="41">
        <f t="shared" si="11"/>
        <v>1.5824660880543984</v>
      </c>
      <c r="N71" s="41">
        <f t="shared" si="11"/>
        <v>1.8157518098154852</v>
      </c>
      <c r="O71" s="41">
        <f t="shared" si="11"/>
        <v>3.6765510460117943</v>
      </c>
      <c r="P71" s="41">
        <f t="shared" si="11"/>
        <v>3.7500820669320318</v>
      </c>
      <c r="Q71" s="41">
        <f t="shared" si="11"/>
        <v>3.8250837082706712</v>
      </c>
      <c r="R71" s="41">
        <f t="shared" si="11"/>
        <v>3.9015853824360853</v>
      </c>
      <c r="S71" s="41">
        <f t="shared" si="11"/>
        <v>3.9796170900848074</v>
      </c>
      <c r="T71" s="41">
        <f t="shared" si="11"/>
        <v>4.0592094318865044</v>
      </c>
      <c r="U71" s="41">
        <f t="shared" si="11"/>
        <v>4.1403936205242333</v>
      </c>
      <c r="V71" s="41">
        <f t="shared" si="11"/>
        <v>4.2232014929347184</v>
      </c>
      <c r="W71" s="41">
        <f t="shared" si="11"/>
        <v>4.3076655227934157</v>
      </c>
      <c r="X71" s="41">
        <f t="shared" si="11"/>
        <v>4.3938188332492816</v>
      </c>
    </row>
    <row r="72" spans="1:24" s="13" customFormat="1" ht="12.75" x14ac:dyDescent="0.2">
      <c r="A72" s="13" t="s">
        <v>66</v>
      </c>
      <c r="B72" s="13" t="s">
        <v>6</v>
      </c>
      <c r="C72" s="43">
        <f>ROUND(IRR($C$71:$X$71,$C$31),4)</f>
        <v>0.15060000000000001</v>
      </c>
    </row>
    <row r="73" spans="1:24" s="13" customFormat="1" ht="12.75" x14ac:dyDescent="0.2">
      <c r="A73" s="13" t="s">
        <v>67</v>
      </c>
      <c r="B73" s="13" t="s">
        <v>6</v>
      </c>
      <c r="C73" s="43">
        <f>$C$31</f>
        <v>0.18</v>
      </c>
    </row>
    <row r="74" spans="1:24" s="13" customFormat="1" ht="12.75" x14ac:dyDescent="0.2">
      <c r="A74" s="13" t="s">
        <v>68</v>
      </c>
      <c r="B74" s="13" t="s">
        <v>6</v>
      </c>
      <c r="C74" s="44">
        <f>C72-C73</f>
        <v>-2.9399999999999982E-2</v>
      </c>
    </row>
    <row r="75" spans="1:24" s="13" customFormat="1" ht="12.75" x14ac:dyDescent="0.2"/>
    <row r="76" spans="1:24" s="13" customFormat="1" ht="12.75" x14ac:dyDescent="0.2">
      <c r="A76" s="45" t="s">
        <v>69</v>
      </c>
      <c r="B76" s="45" t="s">
        <v>6</v>
      </c>
      <c r="C76" s="46">
        <f>(1+C72)/(1+C35)-1</f>
        <v>0.12803921568627463</v>
      </c>
    </row>
    <row r="77" spans="1:24" s="13" customFormat="1" ht="12.75" x14ac:dyDescent="0.2"/>
  </sheetData>
  <protectedRanges>
    <protectedRange sqref="C8:C9 C13 C27:C31" name="Inputs_1"/>
  </protectedRanges>
  <conditionalFormatting sqref="C13:C14 C27:C30 C22:C25">
    <cfRule type="expression" dxfId="14" priority="17">
      <formula>ISERROR(C13)=TRUE</formula>
    </cfRule>
  </conditionalFormatting>
  <conditionalFormatting sqref="C29">
    <cfRule type="expression" dxfId="13" priority="19">
      <formula>ISERROR(C29)=TRUE</formula>
    </cfRule>
  </conditionalFormatting>
  <conditionalFormatting sqref="C8:C11 C17:C20 C31">
    <cfRule type="expression" dxfId="12" priority="18">
      <formula>ISERROR(C8)=TRUE</formula>
    </cfRule>
  </conditionalFormatting>
  <conditionalFormatting sqref="F72:Y74 C72:D74 C48:Y71">
    <cfRule type="expression" dxfId="11" priority="20">
      <formula>#REF!&gt;#REF!</formula>
    </cfRule>
  </conditionalFormatting>
  <conditionalFormatting sqref="C15:C16">
    <cfRule type="expression" dxfId="10" priority="16">
      <formula>ISERROR(C15)=TRUE</formula>
    </cfRule>
  </conditionalFormatting>
  <conditionalFormatting sqref="C4:P4">
    <cfRule type="expression" dxfId="9" priority="11">
      <formula>ISERROR(C4)=TRUE</formula>
    </cfRule>
  </conditionalFormatting>
  <conditionalFormatting sqref="C7">
    <cfRule type="expression" dxfId="8" priority="10">
      <formula>ISERROR(C7)=TRUE</formula>
    </cfRule>
  </conditionalFormatting>
  <conditionalFormatting sqref="C39:P39">
    <cfRule type="expression" dxfId="7" priority="9">
      <formula>ISERROR(C39)=TRUE</formula>
    </cfRule>
  </conditionalFormatting>
  <conditionalFormatting sqref="C44:P44">
    <cfRule type="expression" dxfId="6" priority="8">
      <formula>ISERROR(C44)=TRUE</formula>
    </cfRule>
  </conditionalFormatting>
  <conditionalFormatting sqref="C33:P33">
    <cfRule type="expression" dxfId="5" priority="6">
      <formula>ISERROR(C33)=TRUE</formula>
    </cfRule>
  </conditionalFormatting>
  <conditionalFormatting sqref="E41">
    <cfRule type="expression" dxfId="4" priority="5">
      <formula>ISERROR(E41)=TRUE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F1E246A2-1F26-4398-BF29-C38B1504D5B2}">
            <xm:f>ISERROR('\Richard\Google Drive\Docs - Work\ECA\Projects worked on\Kenya RES 386\Docs\Richard Work in Progress\[FiT Model v2.xlsm]Inputs'!#REF!)=TRUE</xm:f>
            <x14:dxf>
              <font>
                <color theme="0" tint="-0.34998626667073579"/>
              </font>
            </x14:dxf>
          </x14:cfRule>
          <xm:sqref>D1:G1</xm:sqref>
        </x14:conditionalFormatting>
        <x14:conditionalFormatting xmlns:xm="http://schemas.microsoft.com/office/excel/2006/main">
          <x14:cfRule type="expression" priority="13" id="{88EC6E32-9B64-4B6A-A6E2-3B90D46C491E}">
            <xm:f>ISERROR('\Richard\Google Drive\Docs - Work\ECA\Projects worked on\Kenya RES 386\Docs\Richard Work in Progress\[FiT Model v2.xlsm]Inputs'!#REF!)=TRUE</xm:f>
            <x14:dxf>
              <font>
                <color theme="0" tint="-0.34998626667073579"/>
              </font>
            </x14:dxf>
          </x14:cfRule>
          <xm:sqref>H1:K1</xm:sqref>
        </x14:conditionalFormatting>
        <x14:conditionalFormatting xmlns:xm="http://schemas.microsoft.com/office/excel/2006/main">
          <x14:cfRule type="expression" priority="14" id="{1B74EE2D-ED9E-47AA-B93B-5E21969215B4}">
            <xm:f>ISERROR('\Richard\Google Drive\Docs - Work\ECA\Projects worked on\Kenya RES 386\Docs\Richard Work in Progress\[FiT Model v2.xlsm]Inputs'!#REF!)=TRUE</xm:f>
            <x14:dxf>
              <font>
                <color theme="0" tint="-0.34998626667073579"/>
              </font>
            </x14:dxf>
          </x14:cfRule>
          <xm:sqref>M1:U1</xm:sqref>
        </x14:conditionalFormatting>
        <x14:conditionalFormatting xmlns:xm="http://schemas.microsoft.com/office/excel/2006/main">
          <x14:cfRule type="expression" priority="15" id="{950EFA54-F372-4700-ADD1-900373358CFD}">
            <xm:f>ISERROR('\Richard\Google Drive\Docs - Work\ECA\Projects worked on\Kenya RES 386\Docs\Richard Work in Progress\[FiT Model v2.xlsm]Inputs'!#REF!)=TRUE</xm:f>
            <x14:dxf>
              <font>
                <color theme="0" tint="-0.34998626667073579"/>
              </font>
            </x14:dxf>
          </x14:cfRule>
          <xm:sqref>L1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FiT calculation</vt:lpstr>
      <vt:lpstr>COVER!Title_Model</vt:lpstr>
      <vt:lpstr>COVER!Title_Project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Bramley</dc:creator>
  <cp:lastModifiedBy>Richard Bramley</cp:lastModifiedBy>
  <cp:lastPrinted>2013-10-03T10:49:05Z</cp:lastPrinted>
  <dcterms:created xsi:type="dcterms:W3CDTF">2013-04-24T13:55:27Z</dcterms:created>
  <dcterms:modified xsi:type="dcterms:W3CDTF">2014-04-11T08:35:53Z</dcterms:modified>
</cp:coreProperties>
</file>